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angolden\Desktop\"/>
    </mc:Choice>
  </mc:AlternateContent>
  <bookViews>
    <workbookView xWindow="0" yWindow="0" windowWidth="14940" windowHeight="8280"/>
  </bookViews>
  <sheets>
    <sheet name="Degree Programs" sheetId="3" r:id="rId1"/>
  </sheets>
  <definedNames>
    <definedName name="_xlnm.Print_Area" localSheetId="0">'Degree Programs'!$A$1:$K$89</definedName>
  </definedNames>
  <calcPr calcId="162913"/>
</workbook>
</file>

<file path=xl/calcChain.xml><?xml version="1.0" encoding="utf-8"?>
<calcChain xmlns="http://schemas.openxmlformats.org/spreadsheetml/2006/main">
  <c r="J51" i="3" l="1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I9" i="3"/>
  <c r="G32" i="3"/>
  <c r="G26" i="3"/>
  <c r="G25" i="3"/>
  <c r="F51" i="3"/>
  <c r="F50" i="3"/>
  <c r="F49" i="3"/>
  <c r="F48" i="3"/>
  <c r="F47" i="3"/>
  <c r="F46" i="3"/>
  <c r="F45" i="3"/>
  <c r="F44" i="3"/>
  <c r="F43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C47" i="3"/>
  <c r="C46" i="3"/>
  <c r="C42" i="3"/>
  <c r="C41" i="3"/>
  <c r="C40" i="3"/>
  <c r="C51" i="3"/>
  <c r="C50" i="3"/>
  <c r="C49" i="3"/>
  <c r="C48" i="3"/>
  <c r="C45" i="3"/>
  <c r="C44" i="3"/>
  <c r="C43" i="3"/>
  <c r="C39" i="3"/>
  <c r="C38" i="3"/>
  <c r="C37" i="3"/>
  <c r="C36" i="3"/>
  <c r="C35" i="3"/>
  <c r="C34" i="3"/>
  <c r="C33" i="3"/>
  <c r="C32" i="3"/>
  <c r="C31" i="3"/>
  <c r="C30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29" i="3"/>
  <c r="C28" i="3"/>
  <c r="C27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G9" i="3" l="1"/>
  <c r="H42" i="3" l="1"/>
  <c r="H51" i="3" l="1"/>
  <c r="H50" i="3"/>
  <c r="H49" i="3"/>
  <c r="H48" i="3"/>
  <c r="H47" i="3"/>
  <c r="H46" i="3"/>
  <c r="H45" i="3"/>
  <c r="H44" i="3"/>
  <c r="H43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D47" i="3"/>
  <c r="D46" i="3"/>
  <c r="D42" i="3"/>
  <c r="D41" i="3"/>
  <c r="D40" i="3"/>
  <c r="D51" i="3"/>
  <c r="D50" i="3"/>
  <c r="D49" i="3"/>
  <c r="D48" i="3"/>
  <c r="D45" i="3"/>
  <c r="D44" i="3"/>
  <c r="D43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I42" i="3" l="1"/>
  <c r="G42" i="3"/>
  <c r="E42" i="3"/>
  <c r="K42" i="3" l="1"/>
  <c r="G12" i="3"/>
  <c r="G11" i="3" l="1"/>
  <c r="E40" i="3" l="1"/>
  <c r="I40" i="3"/>
  <c r="K40" i="3" l="1"/>
  <c r="E47" i="3" l="1"/>
  <c r="I23" i="3"/>
  <c r="E23" i="3"/>
  <c r="K23" i="3" s="1"/>
  <c r="I47" i="3" l="1"/>
  <c r="K47" i="3" s="1"/>
  <c r="G41" i="3" l="1"/>
  <c r="G48" i="3" l="1"/>
  <c r="G10" i="3" l="1"/>
  <c r="E41" i="3" l="1"/>
  <c r="E49" i="3" l="1"/>
  <c r="E48" i="3"/>
  <c r="E45" i="3"/>
  <c r="E43" i="3"/>
  <c r="E38" i="3"/>
  <c r="E37" i="3"/>
  <c r="E36" i="3"/>
  <c r="E33" i="3"/>
  <c r="E30" i="3"/>
  <c r="E29" i="3"/>
  <c r="E28" i="3"/>
  <c r="E24" i="3"/>
  <c r="E20" i="3"/>
  <c r="E19" i="3"/>
  <c r="E17" i="3"/>
  <c r="E14" i="3"/>
  <c r="E13" i="3"/>
  <c r="E12" i="3"/>
  <c r="E11" i="3"/>
  <c r="E10" i="3"/>
  <c r="I48" i="3"/>
  <c r="K48" i="3" l="1"/>
  <c r="E51" i="3"/>
  <c r="E39" i="3"/>
  <c r="E35" i="3" l="1"/>
  <c r="E27" i="3"/>
  <c r="E26" i="3"/>
  <c r="E32" i="3"/>
  <c r="E25" i="3"/>
  <c r="E22" i="3"/>
  <c r="E21" i="3"/>
  <c r="E18" i="3"/>
  <c r="E9" i="3"/>
  <c r="E16" i="3"/>
  <c r="E15" i="3"/>
  <c r="E50" i="3" l="1"/>
  <c r="E46" i="3"/>
  <c r="E44" i="3"/>
  <c r="E34" i="3"/>
  <c r="E31" i="3"/>
  <c r="K10" i="3" l="1"/>
  <c r="I51" i="3"/>
  <c r="I50" i="3"/>
  <c r="I49" i="3"/>
  <c r="I46" i="3"/>
  <c r="I45" i="3"/>
  <c r="I44" i="3"/>
  <c r="I43" i="3"/>
  <c r="I41" i="3"/>
  <c r="I39" i="3"/>
  <c r="I38" i="3"/>
  <c r="I37" i="3"/>
  <c r="I36" i="3"/>
  <c r="I35" i="3"/>
  <c r="I34" i="3"/>
  <c r="I33" i="3"/>
  <c r="I32" i="3"/>
  <c r="K32" i="3" s="1"/>
  <c r="I31" i="3"/>
  <c r="I30" i="3"/>
  <c r="I29" i="3"/>
  <c r="I28" i="3"/>
  <c r="I27" i="3"/>
  <c r="I26" i="3"/>
  <c r="I25" i="3"/>
  <c r="I24" i="3"/>
  <c r="I22" i="3"/>
  <c r="I21" i="3"/>
  <c r="I20" i="3"/>
  <c r="I19" i="3"/>
  <c r="I18" i="3"/>
  <c r="I17" i="3"/>
  <c r="I16" i="3"/>
  <c r="I15" i="3"/>
  <c r="I14" i="3"/>
  <c r="I13" i="3"/>
  <c r="I12" i="3"/>
  <c r="I11" i="3"/>
  <c r="K39" i="3" l="1"/>
  <c r="K20" i="3"/>
  <c r="K44" i="3"/>
  <c r="K50" i="3"/>
  <c r="K36" i="3"/>
  <c r="K11" i="3"/>
  <c r="K12" i="3"/>
  <c r="K16" i="3"/>
  <c r="K24" i="3"/>
  <c r="K31" i="3"/>
  <c r="K25" i="3"/>
  <c r="K17" i="3"/>
  <c r="K28" i="3"/>
  <c r="K37" i="3"/>
  <c r="K45" i="3"/>
  <c r="K38" i="3"/>
  <c r="K19" i="3"/>
  <c r="K29" i="3"/>
  <c r="K33" i="3"/>
  <c r="K49" i="3"/>
  <c r="K34" i="3"/>
  <c r="K14" i="3"/>
  <c r="K13" i="3"/>
  <c r="K30" i="3"/>
  <c r="K9" i="3"/>
  <c r="K46" i="3" l="1"/>
  <c r="K18" i="3" l="1"/>
  <c r="K27" i="3"/>
  <c r="K26" i="3"/>
  <c r="K35" i="3"/>
  <c r="K51" i="3"/>
  <c r="K15" i="3"/>
  <c r="K21" i="3"/>
  <c r="K22" i="3"/>
  <c r="K41" i="3"/>
  <c r="K43" i="3"/>
</calcChain>
</file>

<file path=xl/sharedStrings.xml><?xml version="1.0" encoding="utf-8"?>
<sst xmlns="http://schemas.openxmlformats.org/spreadsheetml/2006/main" count="140" uniqueCount="89">
  <si>
    <t>TOTAL COST OF PROGRAM</t>
  </si>
  <si>
    <t>GENERAL FEE</t>
  </si>
  <si>
    <t>ACTIVITY FEE</t>
  </si>
  <si>
    <t>CULINARY LAB FEE</t>
  </si>
  <si>
    <t>FACILITIES FEE</t>
  </si>
  <si>
    <t>ACCIDENT INSURANCE (SUMMER)</t>
  </si>
  <si>
    <t>NURSING CLINICAL FEE</t>
  </si>
  <si>
    <t>ACCIDENT INSURANCE (FALL/SPRING SEMESTER)</t>
  </si>
  <si>
    <t>LIGHT LAB FEE</t>
  </si>
  <si>
    <t>HEAVY LAB FEE</t>
  </si>
  <si>
    <t xml:space="preserve"> </t>
  </si>
  <si>
    <t xml:space="preserve">PLEASE NOTE:  ALL OF THE ABOVE FEES ARE APPLIED ON A PER CREDIT BASIS </t>
  </si>
  <si>
    <t>CAMPUS SAFETY FEE</t>
  </si>
  <si>
    <t>REGISTRATION FEE</t>
  </si>
  <si>
    <t>LAB FEES</t>
  </si>
  <si>
    <t>IN-COUNTY TUITION</t>
  </si>
  <si>
    <t>Fine Arts Studies, A.F.A. (60 crs.)</t>
  </si>
  <si>
    <t>Psychology, A.A. (60 crs.)</t>
  </si>
  <si>
    <t>Studio Arts, A.A. (60 crs.)</t>
  </si>
  <si>
    <t>Health Science, A.S. (60 crs.)</t>
  </si>
  <si>
    <t>NURSING LIABILITY INSURANCE (NURS I-IV)</t>
  </si>
  <si>
    <t>ATLANTIC CAPE COMMUNITY COLLEGE</t>
  </si>
  <si>
    <t>COMMUNITY COLLEGE OPPORTUNITY GRANT</t>
  </si>
  <si>
    <t>DONE</t>
  </si>
  <si>
    <t>May choose AVIT 101 or AVIT 103 - used AVIT 101 in Calc</t>
  </si>
  <si>
    <t>NOTES</t>
  </si>
  <si>
    <t xml:space="preserve">     IN-COUNTY OR WITH OUT-OF-COUNTY CHARGEBACK</t>
  </si>
  <si>
    <t xml:space="preserve">     OUT-OF-COUNTY</t>
  </si>
  <si>
    <t xml:space="preserve">     OUT-OF-STATE</t>
  </si>
  <si>
    <t xml:space="preserve">     FOREIGN</t>
  </si>
  <si>
    <t>TUITION - CULINARY</t>
  </si>
  <si>
    <t>UNLESS OTHERWISE NOTED.</t>
  </si>
  <si>
    <t>CAMPUS SAFETY FEE (PER SEMESTER)</t>
  </si>
  <si>
    <t>REGISTRATION FEE (PER SEMESTER)</t>
  </si>
  <si>
    <t xml:space="preserve">AVIATION PROGRAM FEE </t>
  </si>
  <si>
    <t>AVIATION COURSE FEE</t>
  </si>
  <si>
    <t>VARIES</t>
  </si>
  <si>
    <t>RADIOLOGY COURSE FEE</t>
  </si>
  <si>
    <t xml:space="preserve">Air Traffic Control Terminal, A.A.S. (60 crs.) </t>
  </si>
  <si>
    <t>Aviation Studies, A.S. (60 crs.)</t>
  </si>
  <si>
    <t>Aviation Studies, A.S. (60 crs.) - Professional Pilot Option</t>
  </si>
  <si>
    <t>Aviation Studies, A.S. (60 crs.) - Professional Helicopter Pilot Option</t>
  </si>
  <si>
    <t>Biology, A.S. (60 crs.)</t>
  </si>
  <si>
    <t>Biomedical Science, A.S. (60 crs.)</t>
  </si>
  <si>
    <t>Business Administration, A.A.S. (60 crs.)</t>
  </si>
  <si>
    <t>Business Administration, A.S. (60 crs.)</t>
  </si>
  <si>
    <t>Chemistry, A.S. (60 crs.)</t>
  </si>
  <si>
    <t>Child Development/Child Care-Option, A.A. (60 crs.)</t>
  </si>
  <si>
    <t>Communication, A.A. (60 crs.)</t>
  </si>
  <si>
    <t>Computer Information Systems, A.S. (60 crs.)</t>
  </si>
  <si>
    <t>Computer Programming, A.A.S. (60 crs.)</t>
  </si>
  <si>
    <t>Computer Systems Support, A.A.S. (60 crs.)</t>
  </si>
  <si>
    <t>Criminal Justice, A.S. (60 crs.)</t>
  </si>
  <si>
    <t>Culinary Arts, A.A.S.  (60 crs.)</t>
  </si>
  <si>
    <t>Culinary Arts/Baking and Pastry-Option, A.A.S.  (60 crs.)</t>
  </si>
  <si>
    <t>Engineering, A.S. (60 crs.)</t>
  </si>
  <si>
    <t>English, A.A. (60 crs.)</t>
  </si>
  <si>
    <t>Environmental Science, A.S. (60 crs.)</t>
  </si>
  <si>
    <t>Food Service Management, A.A.S. (60 crs.)</t>
  </si>
  <si>
    <t>General Studies, A.S. (60 crs.)</t>
  </si>
  <si>
    <t xml:space="preserve">Hospitality Management, A.A.S. (60 crs.) </t>
  </si>
  <si>
    <t>Human Services, A.S. (60 crs.)</t>
  </si>
  <si>
    <t>Libertal Arts, A.A. (60 crs.)</t>
  </si>
  <si>
    <t>Mathematics, A.S. (60 crs.)</t>
  </si>
  <si>
    <t>Media Studies, A.A.S. (60 crs.)</t>
  </si>
  <si>
    <t>Preschool-Grade 3 Education-Option, Liberal Arts, A.A. (60 crs.)</t>
  </si>
  <si>
    <t>Psychosocial Rehabilitation &amp; Addictions Counseling, A.S. (60 crs.)</t>
  </si>
  <si>
    <t>Social Science, A.A. (60 crs.)</t>
  </si>
  <si>
    <t>Technical Studies, A.A.S. (60 crs.)</t>
  </si>
  <si>
    <t>TUITION - GENERAL EDUCATION &amp; ONLINE</t>
  </si>
  <si>
    <t>K-12 Education-Liberal Arts Option, A.A. (60 crs.)</t>
  </si>
  <si>
    <t>AVIT, CULN, NURS, RADX LABS</t>
  </si>
  <si>
    <t xml:space="preserve">Radiologic Technology, A.A.S. (68 crs.) </t>
  </si>
  <si>
    <t>All tuition and fees are calculated using in-county rates.</t>
  </si>
  <si>
    <t>Nursing, A.A.S. (64 crs.)</t>
  </si>
  <si>
    <t>Computer Systems Support, Cybersecurity Option, A.A.S. (60 crs.)</t>
  </si>
  <si>
    <t xml:space="preserve">Respiratory Care, A.A.S. (31 crs.) </t>
  </si>
  <si>
    <t>Medical Laboratory Technology, A.A.S., (35 crs.) [Mercer 31 crs.]</t>
  </si>
  <si>
    <t>SITE VISITS FEE</t>
  </si>
  <si>
    <t>Practical Nursing Certificate (34 crs.)</t>
  </si>
  <si>
    <t>Small Unmanned Aircraft Systems (SuaS) Field Technician, A.A.S. (60 crs.)</t>
  </si>
  <si>
    <t>ANNUAL ONLINE PROCTORING FEE</t>
  </si>
  <si>
    <t>FY 2026 COST OF DEGREE PROGRAMS</t>
  </si>
  <si>
    <t>ARTS COURSE FEE</t>
  </si>
  <si>
    <t>ONLINE COURSE TECHNOLOGY FEE (inc remote and independent study)</t>
  </si>
  <si>
    <t>ANNUAL Online Proctoring Fee (Honor Lock)</t>
  </si>
  <si>
    <t>CCOG does not pay aviation course fees, not eligible</t>
  </si>
  <si>
    <t>Updated 2.26.2025</t>
  </si>
  <si>
    <t>LAB KIT FEE (ESCI 100 only)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</si>
</sst>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$-409]* #,##0.00_);_([$$-409]* \(#,##0.00\);_([$$-409]* &quot;-&quot;??_);_(@_)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u/>
      <sz val="9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0" fillId="0" borderId="0" xfId="0" applyFill="1"/>
    <xf numFmtId="0" fontId="4" fillId="0" borderId="0" xfId="0" applyFont="1" applyFill="1"/>
    <xf numFmtId="0" fontId="1" fillId="0" borderId="0" xfId="0" applyFont="1" applyFill="1"/>
    <xf numFmtId="0" fontId="3" fillId="0" borderId="0" xfId="0" applyFont="1" applyFill="1" applyAlignment="1">
      <alignment wrapText="1"/>
    </xf>
    <xf numFmtId="0" fontId="7" fillId="0" borderId="0" xfId="0" applyFont="1"/>
    <xf numFmtId="0" fontId="7" fillId="0" borderId="0" xfId="0" applyFont="1" applyFill="1"/>
    <xf numFmtId="0" fontId="1" fillId="0" borderId="0" xfId="0" applyFont="1" applyFill="1" applyAlignment="1"/>
    <xf numFmtId="0" fontId="0" fillId="0" borderId="0" xfId="0" applyAlignment="1"/>
    <xf numFmtId="0" fontId="8" fillId="0" borderId="0" xfId="0" applyFont="1"/>
    <xf numFmtId="0" fontId="9" fillId="0" borderId="0" xfId="0" applyFont="1" applyFill="1"/>
    <xf numFmtId="0" fontId="5" fillId="0" borderId="0" xfId="0" applyFont="1" applyFill="1"/>
    <xf numFmtId="0" fontId="11" fillId="0" borderId="0" xfId="0" applyFont="1" applyFill="1"/>
    <xf numFmtId="0" fontId="12" fillId="0" borderId="0" xfId="0" applyFont="1"/>
    <xf numFmtId="0" fontId="11" fillId="0" borderId="0" xfId="0" applyFont="1"/>
    <xf numFmtId="14" fontId="10" fillId="0" borderId="0" xfId="0" applyNumberFormat="1" applyFont="1" applyFill="1"/>
    <xf numFmtId="164" fontId="11" fillId="0" borderId="0" xfId="1" applyNumberFormat="1" applyFont="1"/>
    <xf numFmtId="164" fontId="2" fillId="0" borderId="0" xfId="1" applyNumberFormat="1" applyFont="1"/>
    <xf numFmtId="164" fontId="6" fillId="0" borderId="0" xfId="1" applyNumberFormat="1" applyFont="1" applyAlignment="1">
      <alignment horizontal="center" wrapText="1"/>
    </xf>
    <xf numFmtId="164" fontId="4" fillId="0" borderId="0" xfId="1" applyNumberFormat="1" applyFont="1" applyFill="1"/>
    <xf numFmtId="164" fontId="2" fillId="0" borderId="0" xfId="1" applyNumberFormat="1" applyFont="1" applyFill="1"/>
    <xf numFmtId="164" fontId="1" fillId="0" borderId="0" xfId="1" applyNumberFormat="1" applyFont="1" applyAlignment="1">
      <alignment horizontal="right"/>
    </xf>
    <xf numFmtId="164" fontId="0" fillId="0" borderId="0" xfId="1" applyNumberFormat="1" applyFont="1"/>
    <xf numFmtId="164" fontId="11" fillId="0" borderId="0" xfId="1" applyNumberFormat="1" applyFont="1" applyFill="1"/>
    <xf numFmtId="164" fontId="6" fillId="0" borderId="0" xfId="1" applyNumberFormat="1" applyFont="1" applyFill="1" applyAlignment="1">
      <alignment horizontal="center" wrapText="1"/>
    </xf>
    <xf numFmtId="164" fontId="0" fillId="0" borderId="0" xfId="1" applyNumberFormat="1" applyFont="1" applyFill="1"/>
    <xf numFmtId="0" fontId="1" fillId="0" borderId="0" xfId="0" applyFont="1"/>
    <xf numFmtId="164" fontId="1" fillId="0" borderId="0" xfId="1" applyNumberFormat="1" applyFont="1" applyFill="1"/>
    <xf numFmtId="0" fontId="1" fillId="0" borderId="0" xfId="0" applyFont="1" applyFill="1" applyAlignment="1">
      <alignment wrapText="1"/>
    </xf>
    <xf numFmtId="0" fontId="12" fillId="0" borderId="0" xfId="0" applyFont="1" applyFill="1"/>
    <xf numFmtId="44" fontId="1" fillId="0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9"/>
  <sheetViews>
    <sheetView tabSelected="1" workbookViewId="0">
      <pane ySplit="8" topLeftCell="A60" activePane="bottomLeft" state="frozen"/>
      <selection pane="bottomLeft" activeCell="A72" sqref="A72"/>
    </sheetView>
  </sheetViews>
  <sheetFormatPr defaultRowHeight="12.75" x14ac:dyDescent="0.2"/>
  <cols>
    <col min="1" max="1" width="66.85546875" style="4" customWidth="1"/>
    <col min="2" max="3" width="12" style="25" customWidth="1"/>
    <col min="4" max="4" width="9.5703125" style="25" customWidth="1"/>
    <col min="5" max="5" width="10.85546875" style="25" customWidth="1"/>
    <col min="6" max="7" width="12" style="28" customWidth="1"/>
    <col min="8" max="8" width="8.5703125" style="25" customWidth="1"/>
    <col min="9" max="10" width="13.7109375" style="25" customWidth="1"/>
    <col min="11" max="11" width="12" style="25" customWidth="1"/>
    <col min="12" max="12" width="0" style="8" hidden="1" customWidth="1"/>
    <col min="13" max="13" width="0" hidden="1" customWidth="1"/>
  </cols>
  <sheetData>
    <row r="1" spans="1:16" s="17" customFormat="1" ht="15.75" x14ac:dyDescent="0.25">
      <c r="A1" s="15" t="s">
        <v>21</v>
      </c>
      <c r="B1" s="19"/>
      <c r="C1" s="19"/>
      <c r="D1" s="19"/>
      <c r="E1" s="19"/>
      <c r="F1" s="26"/>
      <c r="G1" s="26"/>
      <c r="H1" s="19"/>
      <c r="I1" s="19"/>
      <c r="J1" s="19"/>
      <c r="K1" s="19"/>
      <c r="L1" s="16"/>
    </row>
    <row r="2" spans="1:16" s="17" customFormat="1" ht="15.75" x14ac:dyDescent="0.25">
      <c r="A2" s="15" t="s">
        <v>22</v>
      </c>
      <c r="B2" s="19"/>
      <c r="C2" s="19"/>
      <c r="D2" s="19"/>
      <c r="E2" s="19"/>
      <c r="F2" s="26"/>
      <c r="G2" s="26"/>
      <c r="H2" s="19"/>
      <c r="I2" s="19"/>
      <c r="J2" s="19"/>
      <c r="K2" s="19"/>
      <c r="L2" s="16"/>
    </row>
    <row r="3" spans="1:16" s="17" customFormat="1" ht="15.75" x14ac:dyDescent="0.25">
      <c r="A3" s="15" t="s">
        <v>82</v>
      </c>
      <c r="B3" s="19"/>
      <c r="C3" s="19"/>
      <c r="D3" s="19"/>
      <c r="E3" s="19"/>
      <c r="F3" s="26"/>
      <c r="G3" s="26"/>
      <c r="H3" s="19"/>
      <c r="I3" s="19"/>
      <c r="J3" s="19"/>
      <c r="K3" s="19"/>
      <c r="L3" s="16"/>
    </row>
    <row r="4" spans="1:16" ht="15" x14ac:dyDescent="0.2">
      <c r="A4" s="15" t="s">
        <v>87</v>
      </c>
      <c r="B4" s="20"/>
      <c r="C4" s="20"/>
      <c r="D4" s="20"/>
      <c r="E4" s="20"/>
      <c r="F4" s="23"/>
      <c r="G4" s="23"/>
      <c r="H4" s="20"/>
      <c r="I4" s="20"/>
      <c r="J4" s="20"/>
      <c r="K4" s="20"/>
    </row>
    <row r="5" spans="1:16" x14ac:dyDescent="0.2">
      <c r="A5" s="6"/>
      <c r="B5" s="20"/>
      <c r="C5" s="20"/>
      <c r="D5" s="20"/>
      <c r="E5" s="20"/>
      <c r="F5" s="23"/>
      <c r="G5" s="23"/>
      <c r="H5" s="20"/>
      <c r="I5" s="20"/>
      <c r="J5" s="20"/>
      <c r="K5" s="20"/>
    </row>
    <row r="6" spans="1:16" ht="15" x14ac:dyDescent="0.25">
      <c r="A6" s="18" t="s">
        <v>73</v>
      </c>
      <c r="B6" s="20"/>
      <c r="C6" s="20"/>
      <c r="D6" s="20"/>
      <c r="E6" s="20"/>
      <c r="F6" s="23"/>
      <c r="G6" s="23"/>
      <c r="H6" s="20"/>
      <c r="I6" s="20"/>
      <c r="J6" s="20"/>
      <c r="K6" s="20"/>
    </row>
    <row r="7" spans="1:16" ht="15.75" x14ac:dyDescent="0.25">
      <c r="A7" s="32"/>
      <c r="B7" s="20"/>
      <c r="C7" s="20"/>
      <c r="D7" s="20"/>
      <c r="E7" s="20"/>
      <c r="F7" s="23"/>
      <c r="G7" s="23"/>
      <c r="H7" s="20"/>
      <c r="I7" s="20"/>
      <c r="J7" s="20"/>
      <c r="K7" s="20"/>
    </row>
    <row r="8" spans="1:16" ht="48" x14ac:dyDescent="0.2">
      <c r="A8" s="7" t="s">
        <v>10</v>
      </c>
      <c r="B8" s="21" t="s">
        <v>15</v>
      </c>
      <c r="C8" s="21" t="s">
        <v>1</v>
      </c>
      <c r="D8" s="21" t="s">
        <v>2</v>
      </c>
      <c r="E8" s="21" t="s">
        <v>4</v>
      </c>
      <c r="F8" s="27" t="s">
        <v>14</v>
      </c>
      <c r="G8" s="27" t="s">
        <v>71</v>
      </c>
      <c r="H8" s="21" t="s">
        <v>12</v>
      </c>
      <c r="I8" s="21" t="s">
        <v>13</v>
      </c>
      <c r="J8" s="21" t="s">
        <v>81</v>
      </c>
      <c r="K8" s="21" t="s">
        <v>0</v>
      </c>
      <c r="M8" s="12" t="s">
        <v>25</v>
      </c>
    </row>
    <row r="9" spans="1:16" s="4" customFormat="1" x14ac:dyDescent="0.2">
      <c r="A9" s="5" t="s">
        <v>38</v>
      </c>
      <c r="B9" s="22">
        <f t="shared" ref="B9:B24" si="0">(60*174)</f>
        <v>10440</v>
      </c>
      <c r="C9" s="22">
        <f t="shared" ref="C9:C33" si="1">(60*33)</f>
        <v>1980</v>
      </c>
      <c r="D9" s="22">
        <f t="shared" ref="D9:D33" si="2">(60*2)</f>
        <v>120</v>
      </c>
      <c r="E9" s="22">
        <f t="shared" ref="E9:E39" si="3">(60*3)</f>
        <v>180</v>
      </c>
      <c r="F9" s="23">
        <f>(4*48)+(7*28)</f>
        <v>388</v>
      </c>
      <c r="G9" s="30">
        <f>(20*380)+250+650</f>
        <v>8500</v>
      </c>
      <c r="H9" s="22">
        <f t="shared" ref="H9:H41" si="4">(4*50)</f>
        <v>200</v>
      </c>
      <c r="I9" s="22">
        <f>(4*10)</f>
        <v>40</v>
      </c>
      <c r="J9" s="22">
        <f>(2*25)</f>
        <v>50</v>
      </c>
      <c r="K9" s="23">
        <f t="shared" ref="K9:K19" si="5">SUM(B9:I9)</f>
        <v>21848</v>
      </c>
      <c r="L9" s="9" t="s">
        <v>23</v>
      </c>
      <c r="N9" s="6" t="s">
        <v>86</v>
      </c>
    </row>
    <row r="10" spans="1:16" x14ac:dyDescent="0.2">
      <c r="A10" s="5" t="s">
        <v>39</v>
      </c>
      <c r="B10" s="22">
        <f t="shared" si="0"/>
        <v>10440</v>
      </c>
      <c r="C10" s="22">
        <f t="shared" si="1"/>
        <v>1980</v>
      </c>
      <c r="D10" s="22">
        <f t="shared" si="2"/>
        <v>120</v>
      </c>
      <c r="E10" s="22">
        <f t="shared" si="3"/>
        <v>180</v>
      </c>
      <c r="F10" s="23">
        <f>(4*48)+(6*28)</f>
        <v>360</v>
      </c>
      <c r="G10" s="30">
        <f>SUM(250+650)</f>
        <v>900</v>
      </c>
      <c r="H10" s="22">
        <f t="shared" si="4"/>
        <v>200</v>
      </c>
      <c r="I10" s="22">
        <v>40</v>
      </c>
      <c r="J10" s="22">
        <f t="shared" ref="J10:J51" si="6">(2*25)</f>
        <v>50</v>
      </c>
      <c r="K10" s="23">
        <f t="shared" si="5"/>
        <v>14220</v>
      </c>
      <c r="L10" s="9" t="s">
        <v>23</v>
      </c>
      <c r="M10" s="10" t="s">
        <v>24</v>
      </c>
      <c r="N10" s="4" t="s">
        <v>86</v>
      </c>
      <c r="O10" s="11"/>
      <c r="P10" s="11"/>
    </row>
    <row r="11" spans="1:16" x14ac:dyDescent="0.2">
      <c r="A11" s="5" t="s">
        <v>40</v>
      </c>
      <c r="B11" s="22">
        <f t="shared" si="0"/>
        <v>10440</v>
      </c>
      <c r="C11" s="22">
        <f t="shared" si="1"/>
        <v>1980</v>
      </c>
      <c r="D11" s="22">
        <f t="shared" si="2"/>
        <v>120</v>
      </c>
      <c r="E11" s="22">
        <f t="shared" si="3"/>
        <v>180</v>
      </c>
      <c r="F11" s="23">
        <f>(6*28)+(4*48)</f>
        <v>360</v>
      </c>
      <c r="G11" s="30">
        <f>SUM(250+650)</f>
        <v>900</v>
      </c>
      <c r="H11" s="22">
        <f t="shared" si="4"/>
        <v>200</v>
      </c>
      <c r="I11" s="22">
        <f t="shared" ref="I11:I51" si="7">(4*10)</f>
        <v>40</v>
      </c>
      <c r="J11" s="22">
        <f t="shared" si="6"/>
        <v>50</v>
      </c>
      <c r="K11" s="23">
        <f t="shared" si="5"/>
        <v>14220</v>
      </c>
      <c r="L11" s="9" t="s">
        <v>23</v>
      </c>
      <c r="M11" s="4"/>
      <c r="N11" s="4" t="s">
        <v>86</v>
      </c>
    </row>
    <row r="12" spans="1:16" x14ac:dyDescent="0.2">
      <c r="A12" s="5" t="s">
        <v>41</v>
      </c>
      <c r="B12" s="22">
        <f t="shared" si="0"/>
        <v>10440</v>
      </c>
      <c r="C12" s="22">
        <f t="shared" si="1"/>
        <v>1980</v>
      </c>
      <c r="D12" s="22">
        <f t="shared" si="2"/>
        <v>120</v>
      </c>
      <c r="E12" s="22">
        <f t="shared" si="3"/>
        <v>180</v>
      </c>
      <c r="F12" s="23">
        <f>(6*28)+(4*48)</f>
        <v>360</v>
      </c>
      <c r="G12" s="30">
        <f>SUM(250+650)</f>
        <v>900</v>
      </c>
      <c r="H12" s="22">
        <f t="shared" si="4"/>
        <v>200</v>
      </c>
      <c r="I12" s="22">
        <f t="shared" si="7"/>
        <v>40</v>
      </c>
      <c r="J12" s="22">
        <f t="shared" si="6"/>
        <v>50</v>
      </c>
      <c r="K12" s="23">
        <f t="shared" si="5"/>
        <v>14220</v>
      </c>
      <c r="L12" s="9" t="s">
        <v>23</v>
      </c>
      <c r="M12" s="4"/>
      <c r="N12" s="4" t="s">
        <v>86</v>
      </c>
    </row>
    <row r="13" spans="1:16" x14ac:dyDescent="0.2">
      <c r="A13" s="5" t="s">
        <v>42</v>
      </c>
      <c r="B13" s="22">
        <f t="shared" si="0"/>
        <v>10440</v>
      </c>
      <c r="C13" s="22">
        <f t="shared" si="1"/>
        <v>1980</v>
      </c>
      <c r="D13" s="22">
        <f t="shared" si="2"/>
        <v>120</v>
      </c>
      <c r="E13" s="22">
        <f t="shared" si="3"/>
        <v>180</v>
      </c>
      <c r="F13" s="23">
        <f>(32*48)+(6*28)</f>
        <v>1704</v>
      </c>
      <c r="G13" s="23"/>
      <c r="H13" s="22">
        <f t="shared" si="4"/>
        <v>200</v>
      </c>
      <c r="I13" s="22">
        <f t="shared" si="7"/>
        <v>40</v>
      </c>
      <c r="J13" s="22">
        <f t="shared" si="6"/>
        <v>50</v>
      </c>
      <c r="K13" s="23">
        <f t="shared" si="5"/>
        <v>14664</v>
      </c>
      <c r="L13" s="9" t="s">
        <v>23</v>
      </c>
      <c r="M13" s="4"/>
      <c r="N13" s="4"/>
    </row>
    <row r="14" spans="1:16" x14ac:dyDescent="0.2">
      <c r="A14" s="5" t="s">
        <v>43</v>
      </c>
      <c r="B14" s="22">
        <f t="shared" si="0"/>
        <v>10440</v>
      </c>
      <c r="C14" s="22">
        <f t="shared" si="1"/>
        <v>1980</v>
      </c>
      <c r="D14" s="22">
        <f t="shared" si="2"/>
        <v>120</v>
      </c>
      <c r="E14" s="22">
        <f t="shared" si="3"/>
        <v>180</v>
      </c>
      <c r="F14" s="23">
        <f>(38*48)+(14*28)</f>
        <v>2216</v>
      </c>
      <c r="G14" s="23"/>
      <c r="H14" s="22">
        <f t="shared" si="4"/>
        <v>200</v>
      </c>
      <c r="I14" s="22">
        <f t="shared" si="7"/>
        <v>40</v>
      </c>
      <c r="J14" s="22">
        <f t="shared" si="6"/>
        <v>50</v>
      </c>
      <c r="K14" s="23">
        <f t="shared" si="5"/>
        <v>15176</v>
      </c>
      <c r="L14" s="9" t="s">
        <v>23</v>
      </c>
      <c r="M14" s="4"/>
      <c r="N14" s="4"/>
    </row>
    <row r="15" spans="1:16" s="4" customFormat="1" x14ac:dyDescent="0.2">
      <c r="A15" s="6" t="s">
        <v>44</v>
      </c>
      <c r="B15" s="23">
        <f t="shared" si="0"/>
        <v>10440</v>
      </c>
      <c r="C15" s="23">
        <f t="shared" si="1"/>
        <v>1980</v>
      </c>
      <c r="D15" s="23">
        <f t="shared" si="2"/>
        <v>120</v>
      </c>
      <c r="E15" s="23">
        <f t="shared" si="3"/>
        <v>180</v>
      </c>
      <c r="F15" s="23">
        <f>(6*28)+(4*48)</f>
        <v>360</v>
      </c>
      <c r="G15" s="23"/>
      <c r="H15" s="22">
        <f t="shared" si="4"/>
        <v>200</v>
      </c>
      <c r="I15" s="22">
        <f t="shared" si="7"/>
        <v>40</v>
      </c>
      <c r="J15" s="22">
        <f t="shared" si="6"/>
        <v>50</v>
      </c>
      <c r="K15" s="23">
        <f t="shared" si="5"/>
        <v>13320</v>
      </c>
      <c r="L15" s="9" t="s">
        <v>23</v>
      </c>
      <c r="N15" s="6"/>
    </row>
    <row r="16" spans="1:16" x14ac:dyDescent="0.2">
      <c r="A16" s="5" t="s">
        <v>45</v>
      </c>
      <c r="B16" s="23">
        <f t="shared" si="0"/>
        <v>10440</v>
      </c>
      <c r="C16" s="22">
        <f t="shared" si="1"/>
        <v>1980</v>
      </c>
      <c r="D16" s="23">
        <f t="shared" si="2"/>
        <v>120</v>
      </c>
      <c r="E16" s="23">
        <f t="shared" si="3"/>
        <v>180</v>
      </c>
      <c r="F16" s="23">
        <f>(3*28)</f>
        <v>84</v>
      </c>
      <c r="G16" s="23"/>
      <c r="H16" s="22">
        <f t="shared" si="4"/>
        <v>200</v>
      </c>
      <c r="I16" s="22">
        <f t="shared" si="7"/>
        <v>40</v>
      </c>
      <c r="J16" s="22">
        <f t="shared" si="6"/>
        <v>50</v>
      </c>
      <c r="K16" s="23">
        <f t="shared" si="5"/>
        <v>13044</v>
      </c>
      <c r="L16" s="9" t="s">
        <v>23</v>
      </c>
      <c r="N16" s="29"/>
    </row>
    <row r="17" spans="1:14" x14ac:dyDescent="0.2">
      <c r="A17" s="5" t="s">
        <v>46</v>
      </c>
      <c r="B17" s="23">
        <f t="shared" si="0"/>
        <v>10440</v>
      </c>
      <c r="C17" s="22">
        <f t="shared" si="1"/>
        <v>1980</v>
      </c>
      <c r="D17" s="23">
        <f t="shared" si="2"/>
        <v>120</v>
      </c>
      <c r="E17" s="23">
        <f t="shared" si="3"/>
        <v>180</v>
      </c>
      <c r="F17" s="23">
        <f>(6*28)+(31*48)</f>
        <v>1656</v>
      </c>
      <c r="G17" s="23"/>
      <c r="H17" s="22">
        <f t="shared" si="4"/>
        <v>200</v>
      </c>
      <c r="I17" s="22">
        <f t="shared" si="7"/>
        <v>40</v>
      </c>
      <c r="J17" s="22">
        <f t="shared" si="6"/>
        <v>50</v>
      </c>
      <c r="K17" s="23">
        <f t="shared" si="5"/>
        <v>14616</v>
      </c>
      <c r="L17" s="9" t="s">
        <v>23</v>
      </c>
      <c r="N17" s="29"/>
    </row>
    <row r="18" spans="1:14" s="2" customFormat="1" x14ac:dyDescent="0.2">
      <c r="A18" s="6" t="s">
        <v>47</v>
      </c>
      <c r="B18" s="23">
        <f t="shared" si="0"/>
        <v>10440</v>
      </c>
      <c r="C18" s="23">
        <f t="shared" si="1"/>
        <v>1980</v>
      </c>
      <c r="D18" s="23">
        <f t="shared" si="2"/>
        <v>120</v>
      </c>
      <c r="E18" s="23">
        <f t="shared" si="3"/>
        <v>180</v>
      </c>
      <c r="F18" s="23">
        <f>(14*28)+(4*48)</f>
        <v>584</v>
      </c>
      <c r="G18" s="23"/>
      <c r="H18" s="22">
        <f t="shared" si="4"/>
        <v>200</v>
      </c>
      <c r="I18" s="22">
        <f t="shared" si="7"/>
        <v>40</v>
      </c>
      <c r="J18" s="22">
        <f t="shared" si="6"/>
        <v>50</v>
      </c>
      <c r="K18" s="23">
        <f t="shared" si="5"/>
        <v>13544</v>
      </c>
      <c r="L18" s="9" t="s">
        <v>23</v>
      </c>
      <c r="N18" s="6"/>
    </row>
    <row r="19" spans="1:14" s="1" customFormat="1" x14ac:dyDescent="0.2">
      <c r="A19" s="6" t="s">
        <v>48</v>
      </c>
      <c r="B19" s="23">
        <f t="shared" si="0"/>
        <v>10440</v>
      </c>
      <c r="C19" s="22">
        <f t="shared" si="1"/>
        <v>1980</v>
      </c>
      <c r="D19" s="23">
        <f t="shared" si="2"/>
        <v>120</v>
      </c>
      <c r="E19" s="23">
        <f t="shared" si="3"/>
        <v>180</v>
      </c>
      <c r="F19" s="23">
        <f>(10*28)+(4*48)</f>
        <v>472</v>
      </c>
      <c r="G19" s="23"/>
      <c r="H19" s="22">
        <f t="shared" si="4"/>
        <v>200</v>
      </c>
      <c r="I19" s="22">
        <f t="shared" si="7"/>
        <v>40</v>
      </c>
      <c r="J19" s="22">
        <f t="shared" si="6"/>
        <v>50</v>
      </c>
      <c r="K19" s="23">
        <f t="shared" si="5"/>
        <v>13432</v>
      </c>
      <c r="L19" s="9" t="s">
        <v>23</v>
      </c>
      <c r="N19" s="6"/>
    </row>
    <row r="20" spans="1:14" s="1" customFormat="1" x14ac:dyDescent="0.2">
      <c r="A20" s="6" t="s">
        <v>49</v>
      </c>
      <c r="B20" s="23">
        <f t="shared" si="0"/>
        <v>10440</v>
      </c>
      <c r="C20" s="22">
        <f t="shared" si="1"/>
        <v>1980</v>
      </c>
      <c r="D20" s="23">
        <f t="shared" si="2"/>
        <v>120</v>
      </c>
      <c r="E20" s="23">
        <f t="shared" si="3"/>
        <v>180</v>
      </c>
      <c r="F20" s="23">
        <f>(4*48)+(24*28)</f>
        <v>864</v>
      </c>
      <c r="G20" s="23"/>
      <c r="H20" s="22">
        <f t="shared" si="4"/>
        <v>200</v>
      </c>
      <c r="I20" s="22">
        <f t="shared" si="7"/>
        <v>40</v>
      </c>
      <c r="J20" s="22">
        <f t="shared" si="6"/>
        <v>50</v>
      </c>
      <c r="K20" s="23">
        <f>SUM(B39:I39)</f>
        <v>14298</v>
      </c>
      <c r="L20" s="9" t="s">
        <v>23</v>
      </c>
      <c r="N20" s="6"/>
    </row>
    <row r="21" spans="1:14" s="4" customFormat="1" x14ac:dyDescent="0.2">
      <c r="A21" s="6" t="s">
        <v>50</v>
      </c>
      <c r="B21" s="23">
        <f t="shared" si="0"/>
        <v>10440</v>
      </c>
      <c r="C21" s="23">
        <f t="shared" si="1"/>
        <v>1980</v>
      </c>
      <c r="D21" s="23">
        <f t="shared" si="2"/>
        <v>120</v>
      </c>
      <c r="E21" s="23">
        <f t="shared" si="3"/>
        <v>180</v>
      </c>
      <c r="F21" s="23">
        <f>(44*28)+(4*48)</f>
        <v>1424</v>
      </c>
      <c r="G21" s="23"/>
      <c r="H21" s="22">
        <f t="shared" si="4"/>
        <v>200</v>
      </c>
      <c r="I21" s="22">
        <f t="shared" si="7"/>
        <v>40</v>
      </c>
      <c r="J21" s="22">
        <f t="shared" si="6"/>
        <v>50</v>
      </c>
      <c r="K21" s="23">
        <f t="shared" ref="K21:K47" si="8">SUM(B21:I21)</f>
        <v>14384</v>
      </c>
      <c r="L21" s="9" t="s">
        <v>23</v>
      </c>
      <c r="N21" s="6"/>
    </row>
    <row r="22" spans="1:14" s="14" customFormat="1" x14ac:dyDescent="0.2">
      <c r="A22" s="6" t="s">
        <v>51</v>
      </c>
      <c r="B22" s="23">
        <f t="shared" si="0"/>
        <v>10440</v>
      </c>
      <c r="C22" s="23">
        <f t="shared" si="1"/>
        <v>1980</v>
      </c>
      <c r="D22" s="23">
        <f t="shared" si="2"/>
        <v>120</v>
      </c>
      <c r="E22" s="23">
        <f t="shared" si="3"/>
        <v>180</v>
      </c>
      <c r="F22" s="23">
        <f>(41*28)+(4*48)</f>
        <v>1340</v>
      </c>
      <c r="G22" s="23"/>
      <c r="H22" s="22">
        <f t="shared" si="4"/>
        <v>200</v>
      </c>
      <c r="I22" s="22">
        <f t="shared" si="7"/>
        <v>40</v>
      </c>
      <c r="J22" s="22">
        <f t="shared" si="6"/>
        <v>50</v>
      </c>
      <c r="K22" s="23">
        <f t="shared" si="8"/>
        <v>14300</v>
      </c>
      <c r="L22" s="13" t="s">
        <v>23</v>
      </c>
      <c r="N22" s="5"/>
    </row>
    <row r="23" spans="1:14" s="14" customFormat="1" x14ac:dyDescent="0.2">
      <c r="A23" s="6" t="s">
        <v>75</v>
      </c>
      <c r="B23" s="23">
        <f t="shared" si="0"/>
        <v>10440</v>
      </c>
      <c r="C23" s="23">
        <f t="shared" si="1"/>
        <v>1980</v>
      </c>
      <c r="D23" s="23">
        <f t="shared" si="2"/>
        <v>120</v>
      </c>
      <c r="E23" s="23">
        <f t="shared" si="3"/>
        <v>180</v>
      </c>
      <c r="F23" s="23">
        <f>(41*28)+(4*48)</f>
        <v>1340</v>
      </c>
      <c r="G23" s="23"/>
      <c r="H23" s="22">
        <f t="shared" si="4"/>
        <v>200</v>
      </c>
      <c r="I23" s="22">
        <f t="shared" si="7"/>
        <v>40</v>
      </c>
      <c r="J23" s="22">
        <f t="shared" si="6"/>
        <v>50</v>
      </c>
      <c r="K23" s="23">
        <f t="shared" si="8"/>
        <v>14300</v>
      </c>
      <c r="L23" s="13"/>
      <c r="N23" s="5"/>
    </row>
    <row r="24" spans="1:14" s="3" customFormat="1" x14ac:dyDescent="0.2">
      <c r="A24" s="6" t="s">
        <v>52</v>
      </c>
      <c r="B24" s="23">
        <f t="shared" si="0"/>
        <v>10440</v>
      </c>
      <c r="C24" s="22">
        <f t="shared" si="1"/>
        <v>1980</v>
      </c>
      <c r="D24" s="23">
        <f t="shared" si="2"/>
        <v>120</v>
      </c>
      <c r="E24" s="23">
        <f t="shared" si="3"/>
        <v>180</v>
      </c>
      <c r="F24" s="23">
        <f>(8*28)+(4*48)</f>
        <v>416</v>
      </c>
      <c r="G24" s="23">
        <v>250</v>
      </c>
      <c r="H24" s="22">
        <f t="shared" si="4"/>
        <v>200</v>
      </c>
      <c r="I24" s="22">
        <f t="shared" si="7"/>
        <v>40</v>
      </c>
      <c r="J24" s="22">
        <f t="shared" si="6"/>
        <v>50</v>
      </c>
      <c r="K24" s="23">
        <f t="shared" si="8"/>
        <v>13626</v>
      </c>
      <c r="L24" s="9" t="s">
        <v>23</v>
      </c>
      <c r="N24" s="6" t="s">
        <v>86</v>
      </c>
    </row>
    <row r="25" spans="1:14" s="4" customFormat="1" x14ac:dyDescent="0.2">
      <c r="A25" s="6" t="s">
        <v>53</v>
      </c>
      <c r="B25" s="23">
        <f>(38*300)+(22*174)</f>
        <v>15228</v>
      </c>
      <c r="C25" s="23">
        <f t="shared" si="1"/>
        <v>1980</v>
      </c>
      <c r="D25" s="23">
        <f t="shared" si="2"/>
        <v>120</v>
      </c>
      <c r="E25" s="23">
        <f t="shared" si="3"/>
        <v>180</v>
      </c>
      <c r="F25" s="23">
        <f>(3*28) +(4*48)</f>
        <v>276</v>
      </c>
      <c r="G25" s="23">
        <f>(34*400)</f>
        <v>13600</v>
      </c>
      <c r="H25" s="22">
        <f t="shared" si="4"/>
        <v>200</v>
      </c>
      <c r="I25" s="22">
        <f t="shared" si="7"/>
        <v>40</v>
      </c>
      <c r="J25" s="22">
        <f t="shared" si="6"/>
        <v>50</v>
      </c>
      <c r="K25" s="23">
        <f t="shared" si="8"/>
        <v>31624</v>
      </c>
      <c r="L25" s="9" t="s">
        <v>23</v>
      </c>
      <c r="N25" s="6"/>
    </row>
    <row r="26" spans="1:14" s="4" customFormat="1" x14ac:dyDescent="0.2">
      <c r="A26" s="6" t="s">
        <v>54</v>
      </c>
      <c r="B26" s="23">
        <f>(38*300)+(22*174)</f>
        <v>15228</v>
      </c>
      <c r="C26" s="23">
        <f t="shared" si="1"/>
        <v>1980</v>
      </c>
      <c r="D26" s="23">
        <f t="shared" si="2"/>
        <v>120</v>
      </c>
      <c r="E26" s="23">
        <f t="shared" si="3"/>
        <v>180</v>
      </c>
      <c r="F26" s="23">
        <f>(4*48)+(3*28)</f>
        <v>276</v>
      </c>
      <c r="G26" s="23">
        <f>(34*400)</f>
        <v>13600</v>
      </c>
      <c r="H26" s="22">
        <f t="shared" si="4"/>
        <v>200</v>
      </c>
      <c r="I26" s="22">
        <f t="shared" si="7"/>
        <v>40</v>
      </c>
      <c r="J26" s="22">
        <f t="shared" si="6"/>
        <v>50</v>
      </c>
      <c r="K26" s="23">
        <f t="shared" si="8"/>
        <v>31624</v>
      </c>
      <c r="L26" s="9" t="s">
        <v>23</v>
      </c>
      <c r="N26" s="6"/>
    </row>
    <row r="27" spans="1:14" s="2" customFormat="1" x14ac:dyDescent="0.2">
      <c r="A27" s="6" t="s">
        <v>70</v>
      </c>
      <c r="B27" s="23">
        <f>(60*174)</f>
        <v>10440</v>
      </c>
      <c r="C27" s="23">
        <f t="shared" si="1"/>
        <v>1980</v>
      </c>
      <c r="D27" s="23">
        <f t="shared" si="2"/>
        <v>120</v>
      </c>
      <c r="E27" s="23">
        <f t="shared" si="3"/>
        <v>180</v>
      </c>
      <c r="F27" s="23">
        <f>(8*48)+(13*28)</f>
        <v>748</v>
      </c>
      <c r="G27" s="23"/>
      <c r="H27" s="22">
        <f t="shared" si="4"/>
        <v>200</v>
      </c>
      <c r="I27" s="22">
        <f t="shared" si="7"/>
        <v>40</v>
      </c>
      <c r="J27" s="22">
        <f t="shared" si="6"/>
        <v>50</v>
      </c>
      <c r="K27" s="23">
        <f t="shared" si="8"/>
        <v>13708</v>
      </c>
      <c r="L27" s="9" t="s">
        <v>23</v>
      </c>
      <c r="N27" s="6"/>
    </row>
    <row r="28" spans="1:14" s="1" customFormat="1" x14ac:dyDescent="0.2">
      <c r="A28" s="6" t="s">
        <v>55</v>
      </c>
      <c r="B28" s="23">
        <f>(60*174)</f>
        <v>10440</v>
      </c>
      <c r="C28" s="22">
        <f t="shared" si="1"/>
        <v>1980</v>
      </c>
      <c r="D28" s="23">
        <f t="shared" si="2"/>
        <v>120</v>
      </c>
      <c r="E28" s="23">
        <f t="shared" si="3"/>
        <v>180</v>
      </c>
      <c r="F28" s="23">
        <f>(12*48)+(33*28)</f>
        <v>1500</v>
      </c>
      <c r="G28" s="23"/>
      <c r="H28" s="22">
        <f t="shared" si="4"/>
        <v>200</v>
      </c>
      <c r="I28" s="22">
        <f t="shared" si="7"/>
        <v>40</v>
      </c>
      <c r="J28" s="22">
        <f t="shared" si="6"/>
        <v>50</v>
      </c>
      <c r="K28" s="23">
        <f t="shared" si="8"/>
        <v>14460</v>
      </c>
      <c r="L28" s="9" t="s">
        <v>23</v>
      </c>
      <c r="N28" s="6"/>
    </row>
    <row r="29" spans="1:14" s="1" customFormat="1" x14ac:dyDescent="0.2">
      <c r="A29" s="6" t="s">
        <v>56</v>
      </c>
      <c r="B29" s="23">
        <f>(60*174)</f>
        <v>10440</v>
      </c>
      <c r="C29" s="22">
        <f t="shared" si="1"/>
        <v>1980</v>
      </c>
      <c r="D29" s="23">
        <f t="shared" si="2"/>
        <v>120</v>
      </c>
      <c r="E29" s="23">
        <f t="shared" si="3"/>
        <v>180</v>
      </c>
      <c r="F29" s="30">
        <f>(16*28)+(8*48)</f>
        <v>832</v>
      </c>
      <c r="G29" s="30"/>
      <c r="H29" s="22">
        <f t="shared" si="4"/>
        <v>200</v>
      </c>
      <c r="I29" s="22">
        <f t="shared" si="7"/>
        <v>40</v>
      </c>
      <c r="J29" s="22">
        <f t="shared" si="6"/>
        <v>50</v>
      </c>
      <c r="K29" s="23">
        <f t="shared" si="8"/>
        <v>13792</v>
      </c>
      <c r="L29" s="9" t="s">
        <v>23</v>
      </c>
      <c r="N29" s="6"/>
    </row>
    <row r="30" spans="1:14" s="1" customFormat="1" x14ac:dyDescent="0.2">
      <c r="A30" s="6" t="s">
        <v>57</v>
      </c>
      <c r="B30" s="23">
        <f>(60*174)</f>
        <v>10440</v>
      </c>
      <c r="C30" s="22">
        <f t="shared" si="1"/>
        <v>1980</v>
      </c>
      <c r="D30" s="23">
        <f t="shared" si="2"/>
        <v>120</v>
      </c>
      <c r="E30" s="23">
        <f t="shared" si="3"/>
        <v>180</v>
      </c>
      <c r="F30" s="23">
        <f>(38*48)+(6*28)</f>
        <v>1992</v>
      </c>
      <c r="G30" s="23"/>
      <c r="H30" s="22">
        <f t="shared" si="4"/>
        <v>200</v>
      </c>
      <c r="I30" s="22">
        <f t="shared" si="7"/>
        <v>40</v>
      </c>
      <c r="J30" s="22">
        <f t="shared" si="6"/>
        <v>50</v>
      </c>
      <c r="K30" s="23">
        <f t="shared" si="8"/>
        <v>14952</v>
      </c>
      <c r="L30" s="9" t="s">
        <v>23</v>
      </c>
      <c r="N30" s="6"/>
    </row>
    <row r="31" spans="1:14" s="2" customFormat="1" x14ac:dyDescent="0.2">
      <c r="A31" s="6" t="s">
        <v>16</v>
      </c>
      <c r="B31" s="23">
        <f>(60*174)</f>
        <v>10440</v>
      </c>
      <c r="C31" s="22">
        <f t="shared" si="1"/>
        <v>1980</v>
      </c>
      <c r="D31" s="23">
        <f t="shared" si="2"/>
        <v>120</v>
      </c>
      <c r="E31" s="23">
        <f t="shared" si="3"/>
        <v>180</v>
      </c>
      <c r="F31" s="23">
        <f>(4*48)+(15*38)</f>
        <v>762</v>
      </c>
      <c r="G31" s="23"/>
      <c r="H31" s="22">
        <f t="shared" si="4"/>
        <v>200</v>
      </c>
      <c r="I31" s="22">
        <f t="shared" si="7"/>
        <v>40</v>
      </c>
      <c r="J31" s="22">
        <f t="shared" si="6"/>
        <v>50</v>
      </c>
      <c r="K31" s="23">
        <f t="shared" si="8"/>
        <v>13722</v>
      </c>
      <c r="L31" s="9" t="s">
        <v>23</v>
      </c>
      <c r="N31" s="6"/>
    </row>
    <row r="32" spans="1:14" s="4" customFormat="1" x14ac:dyDescent="0.2">
      <c r="A32" s="6" t="s">
        <v>58</v>
      </c>
      <c r="B32" s="23">
        <f>(22*174)+(38*300)</f>
        <v>15228</v>
      </c>
      <c r="C32" s="23">
        <f t="shared" si="1"/>
        <v>1980</v>
      </c>
      <c r="D32" s="23">
        <f t="shared" si="2"/>
        <v>120</v>
      </c>
      <c r="E32" s="23">
        <f t="shared" si="3"/>
        <v>180</v>
      </c>
      <c r="F32" s="23">
        <f>(3*28)+(4*48)</f>
        <v>276</v>
      </c>
      <c r="G32" s="30">
        <f>(38*400)</f>
        <v>15200</v>
      </c>
      <c r="H32" s="22">
        <f t="shared" si="4"/>
        <v>200</v>
      </c>
      <c r="I32" s="22">
        <f t="shared" si="7"/>
        <v>40</v>
      </c>
      <c r="J32" s="22">
        <f t="shared" si="6"/>
        <v>50</v>
      </c>
      <c r="K32" s="23">
        <f t="shared" si="8"/>
        <v>33224</v>
      </c>
      <c r="L32" s="9" t="s">
        <v>23</v>
      </c>
      <c r="N32" s="6"/>
    </row>
    <row r="33" spans="1:16" x14ac:dyDescent="0.2">
      <c r="A33" s="6" t="s">
        <v>59</v>
      </c>
      <c r="B33" s="23">
        <f>(60*174)</f>
        <v>10440</v>
      </c>
      <c r="C33" s="22">
        <f t="shared" si="1"/>
        <v>1980</v>
      </c>
      <c r="D33" s="23">
        <f t="shared" si="2"/>
        <v>120</v>
      </c>
      <c r="E33" s="23">
        <f t="shared" si="3"/>
        <v>180</v>
      </c>
      <c r="F33" s="23">
        <f>(8*48)+(19*28)</f>
        <v>916</v>
      </c>
      <c r="G33" s="23"/>
      <c r="H33" s="22">
        <f t="shared" si="4"/>
        <v>200</v>
      </c>
      <c r="I33" s="22">
        <f t="shared" si="7"/>
        <v>40</v>
      </c>
      <c r="J33" s="22">
        <f t="shared" si="6"/>
        <v>50</v>
      </c>
      <c r="K33" s="23">
        <f t="shared" si="8"/>
        <v>13876</v>
      </c>
      <c r="L33" s="9" t="s">
        <v>23</v>
      </c>
      <c r="N33" s="6"/>
    </row>
    <row r="34" spans="1:16" x14ac:dyDescent="0.2">
      <c r="A34" s="6" t="s">
        <v>19</v>
      </c>
      <c r="B34" s="23">
        <f t="shared" ref="B34:B39" si="9">(60*174)</f>
        <v>10440</v>
      </c>
      <c r="C34" s="22">
        <f t="shared" ref="C34:C39" si="10">(60*33)</f>
        <v>1980</v>
      </c>
      <c r="D34" s="23">
        <f t="shared" ref="D34:D39" si="11">(60*2)</f>
        <v>120</v>
      </c>
      <c r="E34" s="23">
        <f t="shared" si="3"/>
        <v>180</v>
      </c>
      <c r="F34" s="23">
        <f>(12*48)+(13*28)</f>
        <v>940</v>
      </c>
      <c r="G34" s="23"/>
      <c r="H34" s="22">
        <f t="shared" si="4"/>
        <v>200</v>
      </c>
      <c r="I34" s="22">
        <f t="shared" si="7"/>
        <v>40</v>
      </c>
      <c r="J34" s="22">
        <f t="shared" si="6"/>
        <v>50</v>
      </c>
      <c r="K34" s="23">
        <f t="shared" si="8"/>
        <v>13900</v>
      </c>
      <c r="L34" s="9" t="s">
        <v>23</v>
      </c>
      <c r="N34" s="6"/>
    </row>
    <row r="35" spans="1:16" s="4" customFormat="1" x14ac:dyDescent="0.2">
      <c r="A35" s="6" t="s">
        <v>60</v>
      </c>
      <c r="B35" s="23">
        <f t="shared" si="9"/>
        <v>10440</v>
      </c>
      <c r="C35" s="23">
        <f t="shared" si="10"/>
        <v>1980</v>
      </c>
      <c r="D35" s="23">
        <f t="shared" si="11"/>
        <v>120</v>
      </c>
      <c r="E35" s="23">
        <f t="shared" si="3"/>
        <v>180</v>
      </c>
      <c r="F35" s="23">
        <f>(7*28)+(8*48)</f>
        <v>580</v>
      </c>
      <c r="G35" s="23"/>
      <c r="H35" s="22">
        <f t="shared" si="4"/>
        <v>200</v>
      </c>
      <c r="I35" s="22">
        <f t="shared" si="7"/>
        <v>40</v>
      </c>
      <c r="J35" s="22">
        <f t="shared" si="6"/>
        <v>50</v>
      </c>
      <c r="K35" s="23">
        <f t="shared" si="8"/>
        <v>13540</v>
      </c>
      <c r="L35" s="9" t="s">
        <v>23</v>
      </c>
      <c r="N35" s="6"/>
    </row>
    <row r="36" spans="1:16" x14ac:dyDescent="0.2">
      <c r="A36" s="6" t="s">
        <v>61</v>
      </c>
      <c r="B36" s="23">
        <f t="shared" si="9"/>
        <v>10440</v>
      </c>
      <c r="C36" s="22">
        <f t="shared" si="10"/>
        <v>1980</v>
      </c>
      <c r="D36" s="23">
        <f t="shared" si="11"/>
        <v>120</v>
      </c>
      <c r="E36" s="23">
        <f t="shared" si="3"/>
        <v>180</v>
      </c>
      <c r="F36" s="23">
        <f>(4*48)+(14*28)</f>
        <v>584</v>
      </c>
      <c r="G36" s="23"/>
      <c r="H36" s="22">
        <f t="shared" si="4"/>
        <v>200</v>
      </c>
      <c r="I36" s="22">
        <f t="shared" si="7"/>
        <v>40</v>
      </c>
      <c r="J36" s="22">
        <f t="shared" si="6"/>
        <v>50</v>
      </c>
      <c r="K36" s="23">
        <f t="shared" si="8"/>
        <v>13544</v>
      </c>
      <c r="L36" s="9" t="s">
        <v>23</v>
      </c>
      <c r="N36" s="6"/>
    </row>
    <row r="37" spans="1:16" x14ac:dyDescent="0.2">
      <c r="A37" s="6" t="s">
        <v>62</v>
      </c>
      <c r="B37" s="23">
        <f t="shared" si="9"/>
        <v>10440</v>
      </c>
      <c r="C37" s="22">
        <f t="shared" si="10"/>
        <v>1980</v>
      </c>
      <c r="D37" s="23">
        <f t="shared" si="11"/>
        <v>120</v>
      </c>
      <c r="E37" s="23">
        <f t="shared" si="3"/>
        <v>180</v>
      </c>
      <c r="F37" s="23">
        <f>(19*28)+(8*48)</f>
        <v>916</v>
      </c>
      <c r="G37" s="23"/>
      <c r="H37" s="22">
        <f t="shared" si="4"/>
        <v>200</v>
      </c>
      <c r="I37" s="22">
        <f t="shared" si="7"/>
        <v>40</v>
      </c>
      <c r="J37" s="22">
        <f t="shared" si="6"/>
        <v>50</v>
      </c>
      <c r="K37" s="23">
        <f t="shared" si="8"/>
        <v>13876</v>
      </c>
      <c r="L37" s="9" t="s">
        <v>23</v>
      </c>
      <c r="N37" s="6"/>
    </row>
    <row r="38" spans="1:16" x14ac:dyDescent="0.2">
      <c r="A38" s="6" t="s">
        <v>63</v>
      </c>
      <c r="B38" s="23">
        <f t="shared" si="9"/>
        <v>10440</v>
      </c>
      <c r="C38" s="22">
        <f t="shared" si="10"/>
        <v>1980</v>
      </c>
      <c r="D38" s="23">
        <f t="shared" si="11"/>
        <v>120</v>
      </c>
      <c r="E38" s="23">
        <f t="shared" si="3"/>
        <v>180</v>
      </c>
      <c r="F38" s="23">
        <f>(16*48)+(13*28)</f>
        <v>1132</v>
      </c>
      <c r="G38" s="23"/>
      <c r="H38" s="22">
        <f t="shared" si="4"/>
        <v>200</v>
      </c>
      <c r="I38" s="22">
        <f t="shared" si="7"/>
        <v>40</v>
      </c>
      <c r="J38" s="22">
        <f t="shared" si="6"/>
        <v>50</v>
      </c>
      <c r="K38" s="23">
        <f t="shared" si="8"/>
        <v>14092</v>
      </c>
      <c r="L38" s="9" t="s">
        <v>23</v>
      </c>
    </row>
    <row r="39" spans="1:16" s="4" customFormat="1" x14ac:dyDescent="0.2">
      <c r="A39" s="5" t="s">
        <v>64</v>
      </c>
      <c r="B39" s="22">
        <f t="shared" si="9"/>
        <v>10440</v>
      </c>
      <c r="C39" s="22">
        <f t="shared" si="10"/>
        <v>1980</v>
      </c>
      <c r="D39" s="22">
        <f t="shared" si="11"/>
        <v>120</v>
      </c>
      <c r="E39" s="22">
        <f t="shared" si="3"/>
        <v>180</v>
      </c>
      <c r="F39" s="22">
        <f>(32*28)+(4*48)</f>
        <v>1088</v>
      </c>
      <c r="G39" s="22">
        <v>250</v>
      </c>
      <c r="H39" s="22">
        <f t="shared" si="4"/>
        <v>200</v>
      </c>
      <c r="I39" s="22">
        <f t="shared" si="7"/>
        <v>40</v>
      </c>
      <c r="J39" s="22">
        <f t="shared" si="6"/>
        <v>50</v>
      </c>
      <c r="K39" s="23">
        <f t="shared" si="8"/>
        <v>14298</v>
      </c>
      <c r="L39" s="9" t="s">
        <v>23</v>
      </c>
      <c r="N39" s="6" t="s">
        <v>86</v>
      </c>
    </row>
    <row r="40" spans="1:16" s="4" customFormat="1" x14ac:dyDescent="0.2">
      <c r="A40" s="5" t="s">
        <v>77</v>
      </c>
      <c r="B40" s="33">
        <f>(35*174)</f>
        <v>6090</v>
      </c>
      <c r="C40" s="22">
        <f>(35*33)</f>
        <v>1155</v>
      </c>
      <c r="D40" s="22">
        <f>(35*2)</f>
        <v>70</v>
      </c>
      <c r="E40" s="22">
        <f>(35*3)</f>
        <v>105</v>
      </c>
      <c r="F40" s="22">
        <f>(10*28)+(16*48)</f>
        <v>1048</v>
      </c>
      <c r="G40" s="22"/>
      <c r="H40" s="22">
        <f t="shared" si="4"/>
        <v>200</v>
      </c>
      <c r="I40" s="22">
        <f t="shared" si="7"/>
        <v>40</v>
      </c>
      <c r="J40" s="22">
        <f t="shared" si="6"/>
        <v>50</v>
      </c>
      <c r="K40" s="23">
        <f t="shared" si="8"/>
        <v>8708</v>
      </c>
      <c r="L40" s="9"/>
    </row>
    <row r="41" spans="1:16" s="2" customFormat="1" x14ac:dyDescent="0.2">
      <c r="A41" s="6" t="s">
        <v>74</v>
      </c>
      <c r="B41" s="23">
        <f>(64*174)</f>
        <v>11136</v>
      </c>
      <c r="C41" s="23">
        <f>(64*33)</f>
        <v>2112</v>
      </c>
      <c r="D41" s="23">
        <f>(64*2)</f>
        <v>128</v>
      </c>
      <c r="E41" s="23">
        <f>(64*3)</f>
        <v>192</v>
      </c>
      <c r="F41" s="23">
        <f>(16*48)+(3*28)</f>
        <v>852</v>
      </c>
      <c r="G41" s="23">
        <f>(34*315)</f>
        <v>10710</v>
      </c>
      <c r="H41" s="22">
        <f t="shared" si="4"/>
        <v>200</v>
      </c>
      <c r="I41" s="22">
        <f t="shared" si="7"/>
        <v>40</v>
      </c>
      <c r="J41" s="22">
        <f t="shared" si="6"/>
        <v>50</v>
      </c>
      <c r="K41" s="23">
        <f t="shared" si="8"/>
        <v>25370</v>
      </c>
      <c r="L41" s="9" t="s">
        <v>23</v>
      </c>
      <c r="N41" s="6"/>
    </row>
    <row r="42" spans="1:16" s="2" customFormat="1" x14ac:dyDescent="0.2">
      <c r="A42" s="6" t="s">
        <v>79</v>
      </c>
      <c r="B42" s="23">
        <f>(34*174)</f>
        <v>5916</v>
      </c>
      <c r="C42" s="23">
        <f>(34*33)</f>
        <v>1122</v>
      </c>
      <c r="D42" s="23">
        <f>(34*2)</f>
        <v>68</v>
      </c>
      <c r="E42" s="23">
        <f>(34*3)</f>
        <v>102</v>
      </c>
      <c r="F42" s="23"/>
      <c r="G42" s="23">
        <f>(24*315)</f>
        <v>7560</v>
      </c>
      <c r="H42" s="22">
        <f>(3*50)</f>
        <v>150</v>
      </c>
      <c r="I42" s="22">
        <f>(3*10)</f>
        <v>30</v>
      </c>
      <c r="J42" s="22">
        <f t="shared" si="6"/>
        <v>50</v>
      </c>
      <c r="K42" s="23">
        <f t="shared" si="8"/>
        <v>14948</v>
      </c>
      <c r="L42" s="9"/>
      <c r="N42" s="6"/>
    </row>
    <row r="43" spans="1:16" s="2" customFormat="1" x14ac:dyDescent="0.2">
      <c r="A43" s="6" t="s">
        <v>65</v>
      </c>
      <c r="B43" s="23">
        <f>(60*174)</f>
        <v>10440</v>
      </c>
      <c r="C43" s="23">
        <f>(60*33)</f>
        <v>1980</v>
      </c>
      <c r="D43" s="23">
        <f>(60*2)</f>
        <v>120</v>
      </c>
      <c r="E43" s="23">
        <f>(60*3)</f>
        <v>180</v>
      </c>
      <c r="F43" s="23">
        <f>(14*28)+(8*48)</f>
        <v>776</v>
      </c>
      <c r="G43" s="23"/>
      <c r="H43" s="22">
        <f t="shared" ref="H43:H51" si="12">(4*50)</f>
        <v>200</v>
      </c>
      <c r="I43" s="22">
        <f t="shared" si="7"/>
        <v>40</v>
      </c>
      <c r="J43" s="22">
        <f t="shared" si="6"/>
        <v>50</v>
      </c>
      <c r="K43" s="23">
        <f t="shared" si="8"/>
        <v>13736</v>
      </c>
      <c r="L43" s="9" t="s">
        <v>23</v>
      </c>
      <c r="N43" s="6"/>
    </row>
    <row r="44" spans="1:16" s="1" customFormat="1" x14ac:dyDescent="0.2">
      <c r="A44" s="6" t="s">
        <v>17</v>
      </c>
      <c r="B44" s="23">
        <f>(60*174)</f>
        <v>10440</v>
      </c>
      <c r="C44" s="22">
        <f>(60*33)</f>
        <v>1980</v>
      </c>
      <c r="D44" s="23">
        <f>(60*2)</f>
        <v>120</v>
      </c>
      <c r="E44" s="23">
        <f>(60*3)</f>
        <v>180</v>
      </c>
      <c r="F44" s="23">
        <f>(10*28)+(8*48)</f>
        <v>664</v>
      </c>
      <c r="G44" s="23"/>
      <c r="H44" s="22">
        <f t="shared" si="12"/>
        <v>200</v>
      </c>
      <c r="I44" s="22">
        <f t="shared" si="7"/>
        <v>40</v>
      </c>
      <c r="J44" s="22">
        <f t="shared" si="6"/>
        <v>50</v>
      </c>
      <c r="K44" s="23">
        <f t="shared" si="8"/>
        <v>13624</v>
      </c>
      <c r="L44" s="9" t="s">
        <v>23</v>
      </c>
      <c r="N44" s="6"/>
    </row>
    <row r="45" spans="1:16" s="1" customFormat="1" x14ac:dyDescent="0.2">
      <c r="A45" s="6" t="s">
        <v>66</v>
      </c>
      <c r="B45" s="23">
        <f>(60*174)</f>
        <v>10440</v>
      </c>
      <c r="C45" s="22">
        <f>(60*33)</f>
        <v>1980</v>
      </c>
      <c r="D45" s="23">
        <f>(60*2)</f>
        <v>120</v>
      </c>
      <c r="E45" s="23">
        <f>(60*3)</f>
        <v>180</v>
      </c>
      <c r="F45" s="23">
        <f>(8*48)+(10*28)</f>
        <v>664</v>
      </c>
      <c r="G45" s="23"/>
      <c r="H45" s="22">
        <f t="shared" si="12"/>
        <v>200</v>
      </c>
      <c r="I45" s="22">
        <f t="shared" si="7"/>
        <v>40</v>
      </c>
      <c r="J45" s="22">
        <f t="shared" si="6"/>
        <v>50</v>
      </c>
      <c r="K45" s="23">
        <f t="shared" si="8"/>
        <v>13624</v>
      </c>
      <c r="L45" s="9" t="s">
        <v>23</v>
      </c>
      <c r="N45" s="6"/>
    </row>
    <row r="46" spans="1:16" s="2" customFormat="1" ht="12.75" customHeight="1" x14ac:dyDescent="0.2">
      <c r="A46" s="31" t="s">
        <v>72</v>
      </c>
      <c r="B46" s="23">
        <f>(68*174)</f>
        <v>11832</v>
      </c>
      <c r="C46" s="23">
        <f>(68*33)</f>
        <v>2244</v>
      </c>
      <c r="D46" s="23">
        <f>(68*2)</f>
        <v>136</v>
      </c>
      <c r="E46" s="23">
        <f>(68*3)</f>
        <v>204</v>
      </c>
      <c r="F46" s="23">
        <f>(3*28)+(8*48)</f>
        <v>468</v>
      </c>
      <c r="G46" s="30">
        <v>20027</v>
      </c>
      <c r="H46" s="22">
        <f t="shared" si="12"/>
        <v>200</v>
      </c>
      <c r="I46" s="22">
        <f t="shared" si="7"/>
        <v>40</v>
      </c>
      <c r="J46" s="22">
        <f t="shared" si="6"/>
        <v>50</v>
      </c>
      <c r="K46" s="23">
        <f t="shared" si="8"/>
        <v>35151</v>
      </c>
      <c r="L46" s="9" t="s">
        <v>23</v>
      </c>
      <c r="N46" s="6"/>
    </row>
    <row r="47" spans="1:16" s="2" customFormat="1" ht="12.75" customHeight="1" x14ac:dyDescent="0.2">
      <c r="A47" s="31" t="s">
        <v>76</v>
      </c>
      <c r="B47" s="23">
        <f>(31*174)</f>
        <v>5394</v>
      </c>
      <c r="C47" s="23">
        <f>(31*33)</f>
        <v>1023</v>
      </c>
      <c r="D47" s="23">
        <f>(31*2)</f>
        <v>62</v>
      </c>
      <c r="E47" s="23">
        <f>(31*3)</f>
        <v>93</v>
      </c>
      <c r="F47" s="23">
        <f>(3*28)+(12*48)</f>
        <v>660</v>
      </c>
      <c r="G47" s="30"/>
      <c r="H47" s="22">
        <f t="shared" si="12"/>
        <v>200</v>
      </c>
      <c r="I47" s="22">
        <f>(4*10)</f>
        <v>40</v>
      </c>
      <c r="J47" s="22">
        <f t="shared" si="6"/>
        <v>50</v>
      </c>
      <c r="K47" s="23">
        <f t="shared" si="8"/>
        <v>7472</v>
      </c>
      <c r="L47" s="9"/>
      <c r="N47" s="6"/>
    </row>
    <row r="48" spans="1:16" s="2" customFormat="1" x14ac:dyDescent="0.2">
      <c r="A48" s="6" t="s">
        <v>80</v>
      </c>
      <c r="B48" s="23">
        <f>(60*174)</f>
        <v>10440</v>
      </c>
      <c r="C48" s="22">
        <f>(60*33)</f>
        <v>1980</v>
      </c>
      <c r="D48" s="23">
        <f>(60*2)</f>
        <v>120</v>
      </c>
      <c r="E48" s="23">
        <f>(60*3)</f>
        <v>180</v>
      </c>
      <c r="F48" s="23">
        <f>(14*28)+(7*48)</f>
        <v>728</v>
      </c>
      <c r="G48" s="30">
        <f>250</f>
        <v>250</v>
      </c>
      <c r="H48" s="22">
        <f t="shared" si="12"/>
        <v>200</v>
      </c>
      <c r="I48" s="22">
        <f t="shared" si="7"/>
        <v>40</v>
      </c>
      <c r="J48" s="22">
        <f t="shared" si="6"/>
        <v>50</v>
      </c>
      <c r="K48" s="23">
        <f t="shared" ref="K48" si="13">SUM(B48:I48)</f>
        <v>13938</v>
      </c>
      <c r="L48" s="9"/>
      <c r="N48" s="6" t="s">
        <v>86</v>
      </c>
      <c r="P48" s="6"/>
    </row>
    <row r="49" spans="1:14" s="2" customFormat="1" x14ac:dyDescent="0.2">
      <c r="A49" s="6" t="s">
        <v>67</v>
      </c>
      <c r="B49" s="23">
        <f>(60*174)</f>
        <v>10440</v>
      </c>
      <c r="C49" s="22">
        <f>(60*33)</f>
        <v>1980</v>
      </c>
      <c r="D49" s="23">
        <f>(60*2)</f>
        <v>120</v>
      </c>
      <c r="E49" s="23">
        <f>(60*3)</f>
        <v>180</v>
      </c>
      <c r="F49" s="23">
        <f>(10*28)+(8*48)</f>
        <v>664</v>
      </c>
      <c r="G49" s="23"/>
      <c r="H49" s="22">
        <f t="shared" si="12"/>
        <v>200</v>
      </c>
      <c r="I49" s="22">
        <f t="shared" si="7"/>
        <v>40</v>
      </c>
      <c r="J49" s="22">
        <f t="shared" si="6"/>
        <v>50</v>
      </c>
      <c r="K49" s="23">
        <f>SUM(B49:I49)</f>
        <v>13624</v>
      </c>
      <c r="L49" s="9" t="s">
        <v>23</v>
      </c>
      <c r="N49" s="6"/>
    </row>
    <row r="50" spans="1:14" s="2" customFormat="1" x14ac:dyDescent="0.2">
      <c r="A50" s="6" t="s">
        <v>18</v>
      </c>
      <c r="B50" s="23">
        <f>(60*174)</f>
        <v>10440</v>
      </c>
      <c r="C50" s="22">
        <f>(60*33)</f>
        <v>1980</v>
      </c>
      <c r="D50" s="23">
        <f>(60*2)</f>
        <v>120</v>
      </c>
      <c r="E50" s="23">
        <f>(60*3)</f>
        <v>180</v>
      </c>
      <c r="F50" s="23">
        <f>(21*28)+(8*48)</f>
        <v>972</v>
      </c>
      <c r="G50" s="23"/>
      <c r="H50" s="22">
        <f t="shared" si="12"/>
        <v>200</v>
      </c>
      <c r="I50" s="22">
        <f t="shared" si="7"/>
        <v>40</v>
      </c>
      <c r="J50" s="22">
        <f t="shared" si="6"/>
        <v>50</v>
      </c>
      <c r="K50" s="23">
        <f>SUM(B50:I50)</f>
        <v>13932</v>
      </c>
      <c r="L50" s="9" t="s">
        <v>23</v>
      </c>
      <c r="N50" s="6"/>
    </row>
    <row r="51" spans="1:14" s="2" customFormat="1" x14ac:dyDescent="0.2">
      <c r="A51" s="31" t="s">
        <v>68</v>
      </c>
      <c r="B51" s="23">
        <f>(60*174)</f>
        <v>10440</v>
      </c>
      <c r="C51" s="23">
        <f>(60*33)</f>
        <v>1980</v>
      </c>
      <c r="D51" s="23">
        <f>(60*2)</f>
        <v>120</v>
      </c>
      <c r="E51" s="23">
        <f>(60*3)</f>
        <v>180</v>
      </c>
      <c r="F51" s="23">
        <f>(6*28)</f>
        <v>168</v>
      </c>
      <c r="G51" s="23"/>
      <c r="H51" s="22">
        <f t="shared" si="12"/>
        <v>200</v>
      </c>
      <c r="I51" s="22">
        <f t="shared" si="7"/>
        <v>40</v>
      </c>
      <c r="J51" s="22">
        <f t="shared" si="6"/>
        <v>50</v>
      </c>
      <c r="K51" s="23">
        <f>SUM(B51:I51)</f>
        <v>13128</v>
      </c>
      <c r="L51" s="9" t="s">
        <v>23</v>
      </c>
      <c r="N51" s="6"/>
    </row>
    <row r="52" spans="1:14" x14ac:dyDescent="0.2">
      <c r="A52" s="2"/>
      <c r="B52" s="20"/>
      <c r="C52" s="20"/>
      <c r="D52" s="20"/>
      <c r="E52" s="20"/>
      <c r="F52" s="23"/>
      <c r="G52" s="23"/>
      <c r="H52" s="20"/>
      <c r="I52" s="20"/>
      <c r="J52" s="20"/>
      <c r="K52" s="20"/>
    </row>
    <row r="53" spans="1:14" x14ac:dyDescent="0.2">
      <c r="A53" s="2"/>
      <c r="B53" s="20"/>
      <c r="C53" s="20"/>
      <c r="D53" s="20"/>
      <c r="E53" s="20"/>
      <c r="F53" s="23"/>
      <c r="G53" s="23"/>
      <c r="H53" s="20"/>
      <c r="I53" s="20"/>
      <c r="J53" s="20"/>
      <c r="K53" s="20"/>
    </row>
    <row r="54" spans="1:14" x14ac:dyDescent="0.2">
      <c r="A54" s="6" t="s">
        <v>69</v>
      </c>
      <c r="B54" s="20"/>
      <c r="C54" s="20"/>
      <c r="D54" s="20"/>
      <c r="E54" s="20"/>
      <c r="F54" s="23"/>
      <c r="G54" s="23"/>
      <c r="H54" s="20"/>
      <c r="I54" s="20"/>
      <c r="J54" s="20"/>
      <c r="K54" s="20"/>
    </row>
    <row r="55" spans="1:14" x14ac:dyDescent="0.2">
      <c r="A55" s="6" t="s">
        <v>26</v>
      </c>
      <c r="B55" s="20">
        <v>174</v>
      </c>
      <c r="C55" s="20"/>
      <c r="D55" s="20"/>
      <c r="E55" s="20"/>
      <c r="F55" s="23"/>
      <c r="G55" s="23"/>
      <c r="H55" s="20"/>
      <c r="I55" s="20"/>
      <c r="J55" s="20"/>
      <c r="K55" s="20"/>
    </row>
    <row r="56" spans="1:14" x14ac:dyDescent="0.2">
      <c r="A56" s="6" t="s">
        <v>27</v>
      </c>
      <c r="B56" s="20">
        <v>224</v>
      </c>
      <c r="C56" s="20"/>
      <c r="D56" s="20"/>
      <c r="E56" s="20"/>
      <c r="F56" s="23"/>
      <c r="G56" s="23"/>
      <c r="H56" s="20"/>
      <c r="I56" s="20"/>
      <c r="J56" s="20"/>
      <c r="K56" s="20"/>
    </row>
    <row r="57" spans="1:14" x14ac:dyDescent="0.2">
      <c r="A57" s="6" t="s">
        <v>28</v>
      </c>
      <c r="B57" s="20">
        <v>274</v>
      </c>
      <c r="C57" s="20"/>
      <c r="D57" s="20"/>
      <c r="E57" s="20"/>
      <c r="F57" s="23"/>
      <c r="G57" s="23"/>
      <c r="H57" s="20"/>
      <c r="I57" s="20"/>
      <c r="J57" s="20"/>
      <c r="K57" s="20"/>
    </row>
    <row r="58" spans="1:14" x14ac:dyDescent="0.2">
      <c r="A58" s="6" t="s">
        <v>29</v>
      </c>
      <c r="B58" s="20">
        <v>274</v>
      </c>
      <c r="C58" s="20"/>
      <c r="D58" s="20"/>
      <c r="E58" s="20"/>
      <c r="F58" s="23"/>
      <c r="G58" s="23"/>
      <c r="H58" s="20"/>
      <c r="I58" s="20"/>
      <c r="J58" s="20"/>
      <c r="K58" s="20"/>
    </row>
    <row r="59" spans="1:14" x14ac:dyDescent="0.2">
      <c r="A59" s="6" t="s">
        <v>30</v>
      </c>
      <c r="B59" s="20"/>
      <c r="C59" s="20"/>
      <c r="D59" s="20"/>
      <c r="E59" s="20"/>
      <c r="F59" s="23"/>
      <c r="G59" s="23"/>
      <c r="H59" s="20"/>
      <c r="I59" s="20"/>
      <c r="J59" s="20"/>
      <c r="K59" s="20"/>
    </row>
    <row r="60" spans="1:14" x14ac:dyDescent="0.2">
      <c r="A60" s="6" t="s">
        <v>26</v>
      </c>
      <c r="B60" s="20">
        <v>300</v>
      </c>
      <c r="C60" s="20"/>
      <c r="D60" s="20"/>
      <c r="E60" s="20"/>
      <c r="F60" s="23"/>
      <c r="G60" s="23"/>
      <c r="H60" s="20"/>
      <c r="I60" s="20"/>
      <c r="J60" s="20"/>
      <c r="K60" s="20"/>
    </row>
    <row r="61" spans="1:14" x14ac:dyDescent="0.2">
      <c r="A61" s="6" t="s">
        <v>27</v>
      </c>
      <c r="B61" s="20">
        <v>330</v>
      </c>
      <c r="C61" s="20"/>
      <c r="D61" s="20"/>
      <c r="E61" s="20"/>
      <c r="F61" s="23"/>
      <c r="G61" s="23"/>
      <c r="H61" s="20"/>
      <c r="I61" s="20"/>
      <c r="J61" s="20"/>
      <c r="K61" s="20"/>
    </row>
    <row r="62" spans="1:14" x14ac:dyDescent="0.2">
      <c r="A62" s="6" t="s">
        <v>28</v>
      </c>
      <c r="B62" s="20">
        <v>360</v>
      </c>
      <c r="C62" s="20"/>
      <c r="D62" s="20"/>
      <c r="E62" s="20"/>
      <c r="F62" s="23"/>
      <c r="G62" s="23"/>
      <c r="H62" s="20"/>
      <c r="I62" s="20"/>
      <c r="J62" s="20"/>
      <c r="K62" s="20"/>
    </row>
    <row r="63" spans="1:14" x14ac:dyDescent="0.2">
      <c r="A63" s="6" t="s">
        <v>29</v>
      </c>
      <c r="B63" s="20">
        <v>360</v>
      </c>
      <c r="C63" s="20"/>
      <c r="D63" s="20"/>
      <c r="E63" s="20"/>
      <c r="F63" s="23"/>
      <c r="G63" s="23"/>
      <c r="H63" s="20"/>
      <c r="I63" s="20"/>
      <c r="J63" s="20"/>
      <c r="K63" s="20"/>
    </row>
    <row r="64" spans="1:14" x14ac:dyDescent="0.2">
      <c r="A64" s="6"/>
      <c r="B64" s="20"/>
      <c r="C64" s="20"/>
      <c r="D64" s="20"/>
      <c r="E64" s="20"/>
      <c r="F64" s="23"/>
      <c r="G64" s="23"/>
      <c r="H64" s="20"/>
      <c r="I64" s="20"/>
      <c r="J64" s="20"/>
      <c r="K64" s="20"/>
    </row>
    <row r="65" spans="1:11" x14ac:dyDescent="0.2">
      <c r="A65" s="2" t="s">
        <v>1</v>
      </c>
      <c r="B65" s="20">
        <v>33</v>
      </c>
      <c r="C65" s="20"/>
      <c r="D65" s="20"/>
      <c r="E65" s="20"/>
      <c r="F65" s="23"/>
      <c r="G65" s="23"/>
      <c r="H65" s="20"/>
      <c r="I65" s="20"/>
      <c r="J65" s="20"/>
      <c r="K65" s="20"/>
    </row>
    <row r="66" spans="1:11" x14ac:dyDescent="0.2">
      <c r="A66" s="2" t="s">
        <v>2</v>
      </c>
      <c r="B66" s="20">
        <v>2</v>
      </c>
      <c r="C66" s="20"/>
      <c r="D66" s="20"/>
      <c r="E66" s="20"/>
      <c r="F66" s="23"/>
      <c r="G66" s="23"/>
      <c r="H66" s="20"/>
      <c r="I66" s="20"/>
      <c r="J66" s="20"/>
      <c r="K66" s="20"/>
    </row>
    <row r="67" spans="1:11" x14ac:dyDescent="0.2">
      <c r="A67" s="2" t="s">
        <v>4</v>
      </c>
      <c r="B67" s="20">
        <v>3</v>
      </c>
      <c r="C67" s="20"/>
      <c r="D67" s="20"/>
      <c r="E67" s="20"/>
      <c r="F67" s="23"/>
      <c r="G67" s="23"/>
      <c r="H67" s="20"/>
      <c r="I67" s="20"/>
      <c r="J67" s="20"/>
      <c r="K67" s="20"/>
    </row>
    <row r="68" spans="1:11" x14ac:dyDescent="0.2">
      <c r="A68" s="2" t="s">
        <v>3</v>
      </c>
      <c r="B68" s="20">
        <v>400</v>
      </c>
      <c r="C68" s="20"/>
      <c r="D68" s="20"/>
      <c r="E68" s="20"/>
      <c r="F68" s="23"/>
      <c r="G68" s="23"/>
      <c r="H68" s="20"/>
      <c r="I68" s="20"/>
      <c r="J68" s="20"/>
      <c r="K68" s="20"/>
    </row>
    <row r="69" spans="1:11" x14ac:dyDescent="0.2">
      <c r="A69" s="2" t="s">
        <v>8</v>
      </c>
      <c r="B69" s="20">
        <v>28</v>
      </c>
      <c r="C69" s="20"/>
      <c r="D69" s="20"/>
      <c r="E69" s="20"/>
      <c r="F69" s="23"/>
      <c r="G69" s="23"/>
      <c r="H69" s="20"/>
      <c r="I69" s="20"/>
      <c r="J69" s="20"/>
      <c r="K69" s="20"/>
    </row>
    <row r="70" spans="1:11" x14ac:dyDescent="0.2">
      <c r="A70" s="2" t="s">
        <v>9</v>
      </c>
      <c r="B70" s="20">
        <v>48</v>
      </c>
      <c r="C70" s="20"/>
      <c r="D70" s="20"/>
      <c r="E70" s="20"/>
      <c r="F70" s="23"/>
      <c r="G70" s="23"/>
      <c r="H70" s="20"/>
      <c r="I70" s="20"/>
      <c r="J70" s="20"/>
      <c r="K70" s="20"/>
    </row>
    <row r="71" spans="1:11" x14ac:dyDescent="0.2">
      <c r="A71" s="6" t="s">
        <v>88</v>
      </c>
      <c r="B71" s="20">
        <v>90</v>
      </c>
      <c r="C71" s="20"/>
      <c r="D71" s="20"/>
      <c r="E71" s="20"/>
      <c r="F71" s="23"/>
      <c r="G71" s="23"/>
      <c r="H71" s="20"/>
      <c r="I71" s="20"/>
      <c r="J71" s="20"/>
      <c r="K71" s="20"/>
    </row>
    <row r="72" spans="1:11" x14ac:dyDescent="0.2">
      <c r="A72" s="6" t="s">
        <v>83</v>
      </c>
      <c r="B72" s="20">
        <v>28</v>
      </c>
      <c r="C72" s="20"/>
      <c r="D72" s="20"/>
      <c r="E72" s="20"/>
      <c r="F72" s="23"/>
      <c r="G72" s="23"/>
      <c r="H72" s="20"/>
      <c r="I72" s="20"/>
      <c r="J72" s="20"/>
      <c r="K72" s="20"/>
    </row>
    <row r="73" spans="1:11" x14ac:dyDescent="0.2">
      <c r="A73" s="6" t="s">
        <v>78</v>
      </c>
      <c r="B73" s="20">
        <v>25</v>
      </c>
      <c r="C73" s="20"/>
      <c r="D73" s="20"/>
      <c r="E73" s="20"/>
      <c r="F73" s="23"/>
      <c r="G73" s="23"/>
      <c r="H73" s="20"/>
      <c r="I73" s="20"/>
      <c r="J73" s="20"/>
      <c r="K73" s="20"/>
    </row>
    <row r="74" spans="1:11" x14ac:dyDescent="0.2">
      <c r="A74" s="2" t="s">
        <v>6</v>
      </c>
      <c r="B74" s="20">
        <v>315</v>
      </c>
      <c r="C74" s="20"/>
      <c r="D74" s="20"/>
      <c r="E74" s="20"/>
      <c r="F74" s="23"/>
      <c r="G74" s="23"/>
      <c r="H74" s="20"/>
      <c r="I74" s="20"/>
      <c r="J74" s="20"/>
      <c r="K74" s="20"/>
    </row>
    <row r="75" spans="1:11" x14ac:dyDescent="0.2">
      <c r="A75" s="6" t="s">
        <v>37</v>
      </c>
      <c r="B75" s="24" t="s">
        <v>36</v>
      </c>
      <c r="C75" s="20"/>
      <c r="D75" s="20"/>
      <c r="E75" s="20"/>
      <c r="F75" s="23"/>
      <c r="G75" s="23"/>
      <c r="H75" s="20"/>
      <c r="I75" s="20"/>
      <c r="J75" s="20"/>
      <c r="K75" s="20"/>
    </row>
    <row r="76" spans="1:11" x14ac:dyDescent="0.2">
      <c r="A76" s="6" t="s">
        <v>34</v>
      </c>
      <c r="B76" s="20">
        <v>380</v>
      </c>
      <c r="C76" s="20"/>
      <c r="D76" s="20"/>
      <c r="E76" s="20"/>
      <c r="F76" s="23"/>
      <c r="G76" s="23"/>
      <c r="H76" s="20"/>
      <c r="I76" s="20"/>
      <c r="J76" s="20"/>
      <c r="K76" s="20"/>
    </row>
    <row r="77" spans="1:11" x14ac:dyDescent="0.2">
      <c r="A77" s="6" t="s">
        <v>35</v>
      </c>
      <c r="B77" s="24" t="s">
        <v>36</v>
      </c>
      <c r="C77" s="20"/>
      <c r="D77" s="20"/>
      <c r="E77" s="20"/>
      <c r="F77" s="23"/>
      <c r="G77" s="23"/>
      <c r="H77" s="20"/>
      <c r="I77" s="20"/>
      <c r="J77" s="20"/>
      <c r="K77" s="20"/>
    </row>
    <row r="78" spans="1:11" x14ac:dyDescent="0.2">
      <c r="A78" s="2" t="s">
        <v>7</v>
      </c>
      <c r="B78" s="20">
        <v>5.5</v>
      </c>
      <c r="C78" s="20"/>
      <c r="D78" s="20"/>
      <c r="E78" s="20"/>
      <c r="F78" s="23"/>
      <c r="G78" s="23"/>
      <c r="H78" s="20"/>
      <c r="I78" s="20"/>
      <c r="J78" s="20"/>
      <c r="K78" s="20"/>
    </row>
    <row r="79" spans="1:11" x14ac:dyDescent="0.2">
      <c r="A79" s="2" t="s">
        <v>5</v>
      </c>
      <c r="B79" s="20">
        <v>3.5</v>
      </c>
      <c r="C79" s="20"/>
      <c r="D79" s="20"/>
      <c r="E79" s="20"/>
      <c r="F79" s="23"/>
      <c r="G79" s="23"/>
      <c r="H79" s="20"/>
      <c r="I79" s="20"/>
      <c r="J79" s="20"/>
      <c r="K79" s="20"/>
    </row>
    <row r="80" spans="1:11" x14ac:dyDescent="0.2">
      <c r="A80" s="6" t="s">
        <v>20</v>
      </c>
      <c r="B80" s="20">
        <v>5</v>
      </c>
      <c r="C80" s="20"/>
      <c r="D80" s="20"/>
      <c r="E80" s="20"/>
      <c r="F80" s="23"/>
      <c r="G80" s="23"/>
      <c r="H80" s="20"/>
      <c r="I80" s="20"/>
      <c r="J80" s="20"/>
      <c r="K80" s="20"/>
    </row>
    <row r="81" spans="1:11" x14ac:dyDescent="0.2">
      <c r="A81" s="6" t="s">
        <v>84</v>
      </c>
      <c r="B81" s="20">
        <v>25</v>
      </c>
      <c r="C81" s="20"/>
      <c r="D81" s="20"/>
      <c r="E81" s="20"/>
      <c r="F81" s="23"/>
      <c r="G81" s="23"/>
      <c r="H81" s="20"/>
      <c r="I81" s="20"/>
      <c r="J81" s="20"/>
      <c r="K81" s="20"/>
    </row>
    <row r="82" spans="1:11" x14ac:dyDescent="0.2">
      <c r="A82" s="6" t="s">
        <v>32</v>
      </c>
      <c r="B82" s="20">
        <v>50</v>
      </c>
      <c r="C82" s="20"/>
      <c r="D82" s="20"/>
      <c r="E82" s="20"/>
      <c r="F82" s="23"/>
      <c r="G82" s="23"/>
      <c r="H82" s="20"/>
      <c r="I82" s="20"/>
      <c r="J82" s="20"/>
      <c r="K82" s="20"/>
    </row>
    <row r="83" spans="1:11" x14ac:dyDescent="0.2">
      <c r="A83" s="6" t="s">
        <v>33</v>
      </c>
      <c r="B83" s="20">
        <v>10</v>
      </c>
      <c r="C83" s="20"/>
      <c r="D83" s="20"/>
      <c r="E83" s="20"/>
      <c r="F83" s="23"/>
      <c r="G83" s="23"/>
      <c r="H83" s="20"/>
      <c r="I83" s="20"/>
      <c r="J83" s="20"/>
      <c r="K83" s="20"/>
    </row>
    <row r="84" spans="1:11" x14ac:dyDescent="0.2">
      <c r="A84" s="6" t="s">
        <v>85</v>
      </c>
      <c r="B84" s="20">
        <v>25</v>
      </c>
      <c r="C84" s="20"/>
      <c r="D84" s="20"/>
      <c r="E84" s="20"/>
      <c r="F84" s="23"/>
      <c r="G84" s="23"/>
      <c r="H84" s="20"/>
      <c r="I84" s="20"/>
      <c r="J84" s="20"/>
      <c r="K84" s="20"/>
    </row>
    <row r="85" spans="1:11" x14ac:dyDescent="0.2">
      <c r="A85" s="6"/>
      <c r="B85" s="20"/>
      <c r="C85" s="20"/>
      <c r="D85" s="20"/>
      <c r="E85" s="20"/>
      <c r="F85" s="23"/>
      <c r="G85" s="23"/>
      <c r="H85" s="20"/>
      <c r="I85" s="20"/>
      <c r="J85" s="20"/>
      <c r="K85" s="20"/>
    </row>
    <row r="86" spans="1:11" x14ac:dyDescent="0.2">
      <c r="A86" s="6"/>
      <c r="B86" s="20"/>
      <c r="C86" s="20"/>
      <c r="D86" s="20"/>
      <c r="E86" s="20"/>
      <c r="F86" s="23"/>
      <c r="G86" s="23"/>
      <c r="H86" s="20"/>
      <c r="I86" s="20"/>
      <c r="J86" s="20"/>
      <c r="K86" s="20"/>
    </row>
    <row r="87" spans="1:11" x14ac:dyDescent="0.2">
      <c r="A87" s="2" t="s">
        <v>11</v>
      </c>
      <c r="B87" s="20"/>
      <c r="C87" s="20"/>
      <c r="D87" s="20"/>
      <c r="E87" s="20"/>
      <c r="F87" s="23"/>
      <c r="G87" s="23"/>
      <c r="H87" s="20"/>
      <c r="I87" s="20"/>
      <c r="J87" s="20"/>
      <c r="K87" s="20"/>
    </row>
    <row r="88" spans="1:11" x14ac:dyDescent="0.2">
      <c r="A88" s="6" t="s">
        <v>31</v>
      </c>
      <c r="B88" s="20"/>
      <c r="C88" s="20"/>
      <c r="D88" s="20"/>
      <c r="E88" s="20"/>
      <c r="F88" s="23"/>
      <c r="G88" s="23"/>
      <c r="H88" s="20"/>
      <c r="I88" s="20"/>
      <c r="J88" s="20"/>
      <c r="K88" s="20"/>
    </row>
    <row r="89" spans="1:11" x14ac:dyDescent="0.2">
      <c r="C89" s="20"/>
      <c r="D89" s="20"/>
      <c r="E89" s="20"/>
      <c r="F89" s="23"/>
      <c r="G89" s="23"/>
      <c r="H89" s="20"/>
      <c r="I89" s="20"/>
      <c r="J89" s="20"/>
      <c r="K89" s="20"/>
    </row>
  </sheetData>
  <printOptions gridLines="1"/>
  <pageMargins left="0.7" right="0.7" top="0.75" bottom="0.75" header="0.3" footer="0.3"/>
  <pageSetup paperSize="5" orientation="landscape" r:id="rId1"/>
  <ignoredErrors>
    <ignoredError sqref="E4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Programs</vt:lpstr>
      <vt:lpstr>'Degree Programs'!Print_Area</vt:lpstr>
    </vt:vector>
  </TitlesOfParts>
  <Company>Atlantic Cape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Atlantic Cape</dc:creator>
  <cp:lastModifiedBy>Christa Golden</cp:lastModifiedBy>
  <cp:lastPrinted>2018-08-15T19:15:14Z</cp:lastPrinted>
  <dcterms:created xsi:type="dcterms:W3CDTF">2003-08-14T12:27:33Z</dcterms:created>
  <dcterms:modified xsi:type="dcterms:W3CDTF">2025-02-28T16:37:01Z</dcterms:modified>
</cp:coreProperties>
</file>